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ate1904="1"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Q:\Planilhas de Simulação\"/>
    </mc:Choice>
  </mc:AlternateContent>
  <xr:revisionPtr revIDLastSave="0" documentId="8_{15C14462-6323-48C6-880F-C429E51A878D}" xr6:coauthVersionLast="36" xr6:coauthVersionMax="36" xr10:uidLastSave="{00000000-0000-0000-0000-000000000000}"/>
  <bookViews>
    <workbookView xWindow="-105" yWindow="-105" windowWidth="23250" windowHeight="12720" tabRatio="694" xr2:uid="{00000000-000D-0000-FFFF-FFFF00000000}"/>
  </bookViews>
  <sheets>
    <sheet name="Simulador" sheetId="39" r:id="rId1"/>
    <sheet name="Resumo AnoMêsDia" sheetId="40" r:id="rId2"/>
    <sheet name="Resumo por Ano" sheetId="41" r:id="rId3"/>
    <sheet name="Série IPCA" sheetId="18" state="hidden" r:id="rId4"/>
    <sheet name="Feriados" sheetId="15" state="hidden" r:id="rId5"/>
    <sheet name="Taxa Pré" sheetId="43" state="hidden" r:id="rId6"/>
  </sheets>
  <definedNames>
    <definedName name="_xlnm.Print_Area" localSheetId="1">'Resumo AnoMêsDia'!$A$6:$G$164</definedName>
    <definedName name="_xlnm.Print_Area" localSheetId="0">Simulador!$C$9:$S$154</definedName>
    <definedName name="_xlnm.Print_Titles" localSheetId="1">'Resumo AnoMêsDia'!$A:$G,'Resumo AnoMêsDia'!$1:$5</definedName>
    <definedName name="_xlnm.Print_Titles" localSheetId="0">Simulador!$C:$S,Simulador!$1:$8</definedName>
  </definedNames>
  <calcPr calcId="191029"/>
  <pivotCaches>
    <pivotCache cacheId="0" r:id="rId7"/>
  </pivotCache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7" i="43" l="1"/>
  <c r="A28" i="43"/>
  <c r="A26" i="43" l="1"/>
  <c r="A25" i="43" l="1"/>
  <c r="A24" i="43" l="1"/>
  <c r="A23" i="43" l="1"/>
  <c r="A22" i="43" l="1"/>
  <c r="A21" i="43" l="1"/>
  <c r="A20" i="43" l="1"/>
  <c r="A19" i="43" l="1"/>
  <c r="A17" i="43" l="1"/>
  <c r="A15" i="43" l="1"/>
  <c r="A14" i="43" l="1"/>
  <c r="A13" i="43" l="1"/>
  <c r="A12" i="43" l="1"/>
  <c r="D123" i="18" l="1"/>
  <c r="D124" i="18" s="1"/>
  <c r="D125" i="18" l="1"/>
  <c r="D126" i="18" s="1"/>
  <c r="D127" i="18" s="1"/>
  <c r="D128" i="18" s="1"/>
  <c r="D129" i="18" s="1"/>
  <c r="A11" i="43"/>
  <c r="A10" i="43" l="1"/>
  <c r="A9" i="43" l="1"/>
  <c r="A7" i="43" l="1"/>
  <c r="A6" i="43" l="1"/>
  <c r="A8" i="43" l="1"/>
  <c r="A16" i="43"/>
  <c r="A18" i="43"/>
  <c r="A29" i="43"/>
  <c r="A30" i="43"/>
  <c r="A31" i="43"/>
  <c r="A32" i="43"/>
  <c r="A33" i="43"/>
  <c r="A34" i="43"/>
  <c r="A35" i="43"/>
  <c r="A36" i="43"/>
  <c r="A37" i="43"/>
  <c r="A38" i="43"/>
  <c r="A39" i="43"/>
  <c r="A40" i="43"/>
  <c r="A41" i="43"/>
  <c r="A42" i="43"/>
  <c r="A43" i="43"/>
  <c r="A44" i="43"/>
  <c r="A45" i="43"/>
  <c r="A46" i="43"/>
  <c r="A47" i="43"/>
  <c r="A48" i="43"/>
  <c r="A49" i="43"/>
  <c r="A50" i="43"/>
  <c r="A51" i="43"/>
  <c r="A52" i="43"/>
  <c r="A53" i="43"/>
  <c r="A54" i="43"/>
  <c r="A55" i="43"/>
  <c r="A56" i="43"/>
  <c r="A57" i="43"/>
  <c r="A58" i="43"/>
  <c r="A59" i="43"/>
  <c r="A60" i="43"/>
  <c r="A61" i="43"/>
  <c r="A62" i="43"/>
  <c r="A63" i="43"/>
  <c r="A64" i="43"/>
  <c r="A65" i="43"/>
  <c r="A66" i="43"/>
  <c r="A67" i="43"/>
  <c r="A68" i="43"/>
  <c r="A69" i="43"/>
  <c r="A70" i="43"/>
  <c r="A71" i="43"/>
  <c r="A72" i="43"/>
  <c r="A73" i="43"/>
  <c r="A74" i="43"/>
  <c r="A75" i="43"/>
  <c r="A76" i="43"/>
  <c r="A77" i="43"/>
  <c r="A78" i="43"/>
  <c r="A79" i="43"/>
  <c r="A80" i="43"/>
  <c r="A81" i="43"/>
  <c r="A82" i="43"/>
  <c r="A83" i="43"/>
  <c r="A84" i="43"/>
  <c r="A85" i="43"/>
  <c r="A86" i="43"/>
  <c r="A87" i="43"/>
  <c r="A88" i="43"/>
  <c r="A89" i="43"/>
  <c r="A90" i="43"/>
  <c r="A91" i="43"/>
  <c r="A92" i="43"/>
  <c r="A93" i="43"/>
  <c r="A94" i="43"/>
  <c r="A95" i="43"/>
  <c r="A96" i="43"/>
  <c r="A97" i="43"/>
  <c r="A98" i="43"/>
  <c r="A99" i="43"/>
  <c r="A100" i="43"/>
  <c r="G4" i="39"/>
  <c r="G3" i="39" s="1"/>
  <c r="A3" i="43"/>
  <c r="A4" i="43"/>
  <c r="A5" i="43"/>
  <c r="A2" i="43"/>
  <c r="E4" i="39" l="1"/>
  <c r="P3" i="39" s="1"/>
  <c r="O3" i="39" s="1"/>
  <c r="S1" i="39" l="1"/>
  <c r="F3" i="39" l="1"/>
  <c r="B3" i="40" l="1"/>
  <c r="B3" i="41"/>
  <c r="I106" i="18"/>
  <c r="I107" i="18"/>
  <c r="I108" i="18"/>
  <c r="I109" i="18"/>
  <c r="I110" i="18"/>
  <c r="I111" i="18"/>
  <c r="B2" i="40" l="1"/>
  <c r="I104" i="18" l="1"/>
  <c r="I105" i="18"/>
  <c r="H105" i="18"/>
  <c r="H106" i="18"/>
  <c r="H107" i="18"/>
  <c r="H108" i="18"/>
  <c r="H109" i="18"/>
  <c r="H110" i="18"/>
  <c r="H111" i="18"/>
  <c r="H104" i="18"/>
  <c r="H92" i="18"/>
  <c r="Q4" i="39" l="1"/>
  <c r="Q3" i="39" s="1"/>
  <c r="S3" i="39" s="1"/>
  <c r="R9" i="39" s="1"/>
  <c r="M4" i="39" l="1"/>
  <c r="K4" i="39"/>
  <c r="C5" i="39" l="1"/>
  <c r="H93" i="18"/>
  <c r="H94" i="18"/>
  <c r="H95" i="18"/>
  <c r="H96" i="18"/>
  <c r="H97" i="18"/>
  <c r="H98" i="18"/>
  <c r="H99" i="18"/>
  <c r="H100" i="18"/>
  <c r="H101" i="18"/>
  <c r="H102" i="18"/>
  <c r="H103" i="18"/>
  <c r="B2" i="41"/>
  <c r="D1" i="41"/>
  <c r="B1" i="41"/>
  <c r="B1" i="40"/>
  <c r="G1" i="40" l="1"/>
  <c r="L115" i="18" l="1"/>
  <c r="T9" i="39" l="1"/>
  <c r="U9" i="39"/>
  <c r="V9" i="39" s="1"/>
  <c r="AA9" i="39"/>
  <c r="U10" i="39" l="1"/>
  <c r="V10" i="39" s="1"/>
  <c r="T10" i="39"/>
  <c r="T11" i="39" s="1"/>
  <c r="T12" i="39" s="1"/>
  <c r="T13" i="39" s="1"/>
  <c r="T14" i="39" s="1"/>
  <c r="L114" i="18"/>
  <c r="I112" i="18" l="1"/>
  <c r="H112" i="18"/>
  <c r="F112" i="18"/>
  <c r="G112" i="18"/>
  <c r="U11" i="39"/>
  <c r="T15" i="39"/>
  <c r="U12" i="39" l="1"/>
  <c r="V12" i="39" s="1"/>
  <c r="V11" i="39"/>
  <c r="I113" i="18"/>
  <c r="H113" i="18"/>
  <c r="G113" i="18"/>
  <c r="F113" i="18"/>
  <c r="T16" i="39"/>
  <c r="U13" i="39" l="1"/>
  <c r="V13" i="39" s="1"/>
  <c r="I114" i="18"/>
  <c r="I115" i="18"/>
  <c r="H114" i="18"/>
  <c r="T17" i="39"/>
  <c r="U14" i="39" l="1"/>
  <c r="V14" i="39" s="1"/>
  <c r="H115" i="18"/>
  <c r="F114" i="18"/>
  <c r="T18" i="39"/>
  <c r="U15" i="39" l="1"/>
  <c r="V15" i="39" s="1"/>
  <c r="I117" i="18"/>
  <c r="T19" i="39"/>
  <c r="U16" i="39" l="1"/>
  <c r="V16" i="39" s="1"/>
  <c r="T20" i="39"/>
  <c r="U17" i="39" l="1"/>
  <c r="V17" i="39" s="1"/>
  <c r="E119" i="18"/>
  <c r="I118" i="18"/>
  <c r="T21" i="39"/>
  <c r="U18" i="39" l="1"/>
  <c r="V18" i="39" s="1"/>
  <c r="I119" i="18"/>
  <c r="T22" i="39"/>
  <c r="D130" i="18" l="1"/>
  <c r="U19" i="39"/>
  <c r="V19" i="39" s="1"/>
  <c r="I120" i="18"/>
  <c r="T23" i="39"/>
  <c r="D131" i="18" l="1"/>
  <c r="D132" i="18" s="1"/>
  <c r="U20" i="39"/>
  <c r="V20" i="39" s="1"/>
  <c r="I121" i="18"/>
  <c r="T24" i="39"/>
  <c r="D133" i="18" l="1"/>
  <c r="U21" i="39"/>
  <c r="V21" i="39" s="1"/>
  <c r="I122" i="18"/>
  <c r="T25" i="39"/>
  <c r="D134" i="18" l="1"/>
  <c r="D135" i="18" s="1"/>
  <c r="U22" i="39"/>
  <c r="V22" i="39" s="1"/>
  <c r="T26" i="39"/>
  <c r="U23" i="39" l="1"/>
  <c r="V23" i="39" s="1"/>
  <c r="T27" i="39"/>
  <c r="D136" i="18" l="1"/>
  <c r="U24" i="39"/>
  <c r="V24" i="39" s="1"/>
  <c r="T28" i="39"/>
  <c r="D137" i="18" l="1"/>
  <c r="D138" i="18" s="1"/>
  <c r="U25" i="39"/>
  <c r="V25" i="39" s="1"/>
  <c r="T29" i="39"/>
  <c r="D139" i="18" l="1"/>
  <c r="U26" i="39"/>
  <c r="V26" i="39" s="1"/>
  <c r="T30" i="39"/>
  <c r="D140" i="18" l="1"/>
  <c r="U27" i="39"/>
  <c r="V27" i="39" s="1"/>
  <c r="T31" i="39"/>
  <c r="E142" i="18" l="1"/>
  <c r="D141" i="18"/>
  <c r="U28" i="39"/>
  <c r="V28" i="39" s="1"/>
  <c r="T32" i="39"/>
  <c r="D142" i="18" l="1"/>
  <c r="U29" i="39"/>
  <c r="V29" i="39" s="1"/>
  <c r="E143" i="18"/>
  <c r="T33" i="39"/>
  <c r="E144" i="18" l="1"/>
  <c r="U30" i="39"/>
  <c r="V30" i="39" s="1"/>
  <c r="D143" i="18"/>
  <c r="U31" i="39" l="1"/>
  <c r="V31" i="39" s="1"/>
  <c r="D144" i="18"/>
  <c r="E145" i="18"/>
  <c r="U32" i="39" l="1"/>
  <c r="V32" i="39" s="1"/>
  <c r="E146" i="18"/>
  <c r="D145" i="18"/>
  <c r="U33" i="39" l="1"/>
  <c r="U34" i="39" s="1"/>
  <c r="V34" i="39" s="1"/>
  <c r="D146" i="18"/>
  <c r="E147" i="18"/>
  <c r="C9" i="39"/>
  <c r="V33" i="39" l="1"/>
  <c r="E148" i="18"/>
  <c r="D147" i="18"/>
  <c r="D9" i="39"/>
  <c r="A9" i="39" s="1"/>
  <c r="L113" i="18"/>
  <c r="L112" i="18"/>
  <c r="L93" i="18"/>
  <c r="L92" i="18"/>
  <c r="L91" i="18"/>
  <c r="L12" i="18"/>
  <c r="L11" i="18"/>
  <c r="L10" i="18"/>
  <c r="L13" i="18"/>
  <c r="L14" i="18"/>
  <c r="L15" i="18"/>
  <c r="L16" i="18"/>
  <c r="L17" i="18"/>
  <c r="L18" i="18"/>
  <c r="L19" i="18"/>
  <c r="L20" i="18"/>
  <c r="L21" i="18"/>
  <c r="L22" i="18"/>
  <c r="L23" i="18"/>
  <c r="L24" i="18"/>
  <c r="L25" i="18"/>
  <c r="L26" i="18"/>
  <c r="L28" i="18"/>
  <c r="L29" i="18"/>
  <c r="L30" i="18"/>
  <c r="L31" i="18"/>
  <c r="L32" i="18"/>
  <c r="L33" i="18"/>
  <c r="L34" i="18"/>
  <c r="L35" i="18"/>
  <c r="L36" i="18"/>
  <c r="L37" i="18"/>
  <c r="L38" i="18"/>
  <c r="L39" i="18"/>
  <c r="L40" i="18"/>
  <c r="L41" i="18"/>
  <c r="L42" i="18"/>
  <c r="L43" i="18"/>
  <c r="L44" i="18"/>
  <c r="L45" i="18"/>
  <c r="L46" i="18"/>
  <c r="L47" i="18"/>
  <c r="L48" i="18"/>
  <c r="L49" i="18"/>
  <c r="L50" i="18"/>
  <c r="L51" i="18"/>
  <c r="L52" i="18"/>
  <c r="L53" i="18"/>
  <c r="L54" i="18"/>
  <c r="L55" i="18"/>
  <c r="L56" i="18"/>
  <c r="L57" i="18"/>
  <c r="L58" i="18"/>
  <c r="L59" i="18"/>
  <c r="L60" i="18"/>
  <c r="L61" i="18"/>
  <c r="L62" i="18"/>
  <c r="L63" i="18"/>
  <c r="L64" i="18"/>
  <c r="L65" i="18"/>
  <c r="L66" i="18"/>
  <c r="L67" i="18"/>
  <c r="L68" i="18"/>
  <c r="L69" i="18"/>
  <c r="L70" i="18"/>
  <c r="L71" i="18"/>
  <c r="L72" i="18"/>
  <c r="L73" i="18"/>
  <c r="L74" i="18"/>
  <c r="L75" i="18"/>
  <c r="L76" i="18"/>
  <c r="L77" i="18"/>
  <c r="L78" i="18"/>
  <c r="L79" i="18"/>
  <c r="L80" i="18"/>
  <c r="L81" i="18"/>
  <c r="L82" i="18"/>
  <c r="L83" i="18"/>
  <c r="L84" i="18"/>
  <c r="L85" i="18"/>
  <c r="L86" i="18"/>
  <c r="L87" i="18"/>
  <c r="L88" i="18"/>
  <c r="L89" i="18"/>
  <c r="L90" i="18"/>
  <c r="L94" i="18"/>
  <c r="L95" i="18"/>
  <c r="L96" i="18"/>
  <c r="L97" i="18"/>
  <c r="L98" i="18"/>
  <c r="L99" i="18"/>
  <c r="L100" i="18"/>
  <c r="L101" i="18"/>
  <c r="L102" i="18"/>
  <c r="L103" i="18"/>
  <c r="L104" i="18"/>
  <c r="L105" i="18"/>
  <c r="L106" i="18"/>
  <c r="L107" i="18"/>
  <c r="L108" i="18"/>
  <c r="L109" i="18"/>
  <c r="L110" i="18"/>
  <c r="L111" i="18"/>
  <c r="M111" i="18" l="1"/>
  <c r="M102" i="18"/>
  <c r="M91" i="18"/>
  <c r="M83" i="18"/>
  <c r="M75" i="18"/>
  <c r="M67" i="18"/>
  <c r="D148" i="18"/>
  <c r="M59" i="18"/>
  <c r="M51" i="18"/>
  <c r="E149" i="18"/>
  <c r="M103" i="18"/>
  <c r="M43" i="18"/>
  <c r="M26" i="18"/>
  <c r="M25" i="18"/>
  <c r="M72" i="18"/>
  <c r="M64" i="18"/>
  <c r="M48" i="18"/>
  <c r="M40" i="18"/>
  <c r="M23" i="18"/>
  <c r="M80" i="18"/>
  <c r="M56" i="18"/>
  <c r="M95" i="18"/>
  <c r="M84" i="18"/>
  <c r="M76" i="18"/>
  <c r="M68" i="18"/>
  <c r="M60" i="18"/>
  <c r="M52" i="18"/>
  <c r="M44" i="18"/>
  <c r="L27" i="18"/>
  <c r="M28" i="18" s="1"/>
  <c r="M27" i="18"/>
  <c r="M92" i="18"/>
  <c r="M101" i="18"/>
  <c r="M90" i="18"/>
  <c r="M82" i="18"/>
  <c r="M74" i="18"/>
  <c r="M66" i="18"/>
  <c r="M58" i="18"/>
  <c r="M50" i="18"/>
  <c r="M42" i="18"/>
  <c r="M93" i="18"/>
  <c r="M108" i="18"/>
  <c r="M100" i="18"/>
  <c r="M89" i="18"/>
  <c r="M81" i="18"/>
  <c r="M73" i="18"/>
  <c r="M65" i="18"/>
  <c r="M57" i="18"/>
  <c r="M49" i="18"/>
  <c r="M41" i="18"/>
  <c r="M24" i="18"/>
  <c r="M94" i="18"/>
  <c r="M99" i="18"/>
  <c r="M109" i="18"/>
  <c r="M88" i="18"/>
  <c r="M106" i="18"/>
  <c r="M98" i="18"/>
  <c r="M87" i="18"/>
  <c r="M79" i="18"/>
  <c r="M71" i="18"/>
  <c r="M63" i="18"/>
  <c r="M55" i="18"/>
  <c r="M47" i="18"/>
  <c r="M22" i="18"/>
  <c r="M105" i="18"/>
  <c r="M97" i="18"/>
  <c r="M86" i="18"/>
  <c r="M78" i="18"/>
  <c r="M70" i="18"/>
  <c r="M62" i="18"/>
  <c r="M54" i="18"/>
  <c r="M46" i="18"/>
  <c r="M107" i="18"/>
  <c r="M104" i="18"/>
  <c r="M96" i="18"/>
  <c r="M85" i="18"/>
  <c r="M77" i="18"/>
  <c r="M69" i="18"/>
  <c r="M61" i="18"/>
  <c r="M53" i="18"/>
  <c r="M45" i="18"/>
  <c r="M110" i="18"/>
  <c r="M115" i="18"/>
  <c r="M116" i="18"/>
  <c r="M114" i="18"/>
  <c r="M113" i="18"/>
  <c r="M112" i="18"/>
  <c r="B9" i="39"/>
  <c r="M35" i="18" l="1"/>
  <c r="M32" i="18"/>
  <c r="M38" i="18"/>
  <c r="E150" i="18"/>
  <c r="M30" i="18"/>
  <c r="D149" i="18"/>
  <c r="M31" i="18"/>
  <c r="M33" i="18"/>
  <c r="M39" i="18"/>
  <c r="M29" i="18"/>
  <c r="M37" i="18"/>
  <c r="M34" i="18"/>
  <c r="M36" i="18"/>
  <c r="E10" i="39"/>
  <c r="E11" i="39" s="1"/>
  <c r="E151" i="18" l="1"/>
  <c r="D150" i="18"/>
  <c r="F10" i="39"/>
  <c r="D151" i="18" l="1"/>
  <c r="E152" i="18"/>
  <c r="D10" i="39"/>
  <c r="E12" i="39"/>
  <c r="E13" i="39" s="1"/>
  <c r="F11" i="39"/>
  <c r="D11" i="39" s="1"/>
  <c r="E153" i="18" l="1"/>
  <c r="D152" i="18"/>
  <c r="B10" i="39"/>
  <c r="A10" i="39"/>
  <c r="F12" i="39"/>
  <c r="D12" i="39" s="1"/>
  <c r="I10" i="39"/>
  <c r="H10" i="39"/>
  <c r="F13" i="39"/>
  <c r="E14" i="39"/>
  <c r="D153" i="18" l="1"/>
  <c r="E154" i="18"/>
  <c r="I12" i="39"/>
  <c r="B12" i="39"/>
  <c r="A12" i="39"/>
  <c r="B11" i="39"/>
  <c r="A11" i="39"/>
  <c r="I11" i="39"/>
  <c r="D13" i="39"/>
  <c r="M10" i="39"/>
  <c r="L10" i="39"/>
  <c r="E15" i="39"/>
  <c r="F14" i="39"/>
  <c r="E155" i="18" l="1"/>
  <c r="D154" i="18"/>
  <c r="I13" i="39"/>
  <c r="B13" i="39"/>
  <c r="A13" i="39"/>
  <c r="D14" i="39"/>
  <c r="F15" i="39"/>
  <c r="E16" i="39"/>
  <c r="D155" i="18" l="1"/>
  <c r="E156" i="18"/>
  <c r="I14" i="39"/>
  <c r="A14" i="39"/>
  <c r="B14" i="39"/>
  <c r="D15" i="39"/>
  <c r="F16" i="39"/>
  <c r="E17" i="39"/>
  <c r="E157" i="18" l="1"/>
  <c r="D156" i="18"/>
  <c r="I15" i="39"/>
  <c r="B15" i="39"/>
  <c r="A15" i="39"/>
  <c r="D16" i="39"/>
  <c r="F17" i="39"/>
  <c r="E18" i="39"/>
  <c r="D157" i="18" l="1"/>
  <c r="E158" i="18"/>
  <c r="I16" i="39"/>
  <c r="A16" i="39"/>
  <c r="B16" i="39"/>
  <c r="D17" i="39"/>
  <c r="E19" i="39"/>
  <c r="F18" i="39"/>
  <c r="E159" i="18" l="1"/>
  <c r="D158" i="18"/>
  <c r="B17" i="39"/>
  <c r="A17" i="39"/>
  <c r="D18" i="39"/>
  <c r="I17" i="39"/>
  <c r="F19" i="39"/>
  <c r="E20" i="39"/>
  <c r="D159" i="18" l="1"/>
  <c r="E160" i="18"/>
  <c r="I18" i="39"/>
  <c r="B18" i="39"/>
  <c r="A18" i="39"/>
  <c r="D19" i="39"/>
  <c r="F20" i="39"/>
  <c r="E21" i="39"/>
  <c r="D160" i="18" l="1"/>
  <c r="E161" i="18"/>
  <c r="I19" i="39"/>
  <c r="B19" i="39"/>
  <c r="A19" i="39"/>
  <c r="D20" i="39"/>
  <c r="E22" i="39"/>
  <c r="F21" i="39"/>
  <c r="D161" i="18" l="1"/>
  <c r="E162" i="18"/>
  <c r="I20" i="39"/>
  <c r="B20" i="39"/>
  <c r="A20" i="39"/>
  <c r="D21" i="39"/>
  <c r="E23" i="39"/>
  <c r="F22" i="39"/>
  <c r="D162" i="18" l="1"/>
  <c r="E163" i="18"/>
  <c r="I21" i="39"/>
  <c r="B21" i="39"/>
  <c r="A21" i="39"/>
  <c r="D22" i="39"/>
  <c r="E24" i="39"/>
  <c r="F23" i="39"/>
  <c r="D163" i="18" l="1"/>
  <c r="E164" i="18"/>
  <c r="I22" i="39"/>
  <c r="B22" i="39"/>
  <c r="A22" i="39"/>
  <c r="D23" i="39"/>
  <c r="F24" i="39"/>
  <c r="E25" i="39"/>
  <c r="D164" i="18" l="1"/>
  <c r="E165" i="18"/>
  <c r="B23" i="39"/>
  <c r="A23" i="39"/>
  <c r="D24" i="39"/>
  <c r="I23" i="39"/>
  <c r="F25" i="39"/>
  <c r="E26" i="39"/>
  <c r="D165" i="18" l="1"/>
  <c r="E166" i="18"/>
  <c r="I24" i="39"/>
  <c r="A24" i="39"/>
  <c r="B24" i="39"/>
  <c r="D25" i="39"/>
  <c r="E27" i="39"/>
  <c r="F26" i="39"/>
  <c r="D166" i="18" l="1"/>
  <c r="E167" i="18"/>
  <c r="B25" i="39"/>
  <c r="A25" i="39"/>
  <c r="D26" i="39"/>
  <c r="I25" i="39"/>
  <c r="F27" i="39"/>
  <c r="E28" i="39"/>
  <c r="D167" i="18" l="1"/>
  <c r="E168" i="18"/>
  <c r="I26" i="39"/>
  <c r="B26" i="39"/>
  <c r="A26" i="39"/>
  <c r="D27" i="39"/>
  <c r="F28" i="39"/>
  <c r="E29" i="39"/>
  <c r="D168" i="18" l="1"/>
  <c r="E169" i="18"/>
  <c r="B27" i="39"/>
  <c r="A27" i="39"/>
  <c r="D28" i="39"/>
  <c r="I27" i="39"/>
  <c r="E30" i="39"/>
  <c r="F29" i="39"/>
  <c r="D169" i="18" l="1"/>
  <c r="E170" i="18"/>
  <c r="I28" i="39"/>
  <c r="B28" i="39"/>
  <c r="A28" i="39"/>
  <c r="D29" i="39"/>
  <c r="E31" i="39"/>
  <c r="F30" i="39"/>
  <c r="D170" i="18" l="1"/>
  <c r="E171" i="18"/>
  <c r="B29" i="39"/>
  <c r="A29" i="39"/>
  <c r="I29" i="39"/>
  <c r="D30" i="39"/>
  <c r="E32" i="39"/>
  <c r="F31" i="39"/>
  <c r="D171" i="18" l="1"/>
  <c r="E172" i="18"/>
  <c r="B30" i="39"/>
  <c r="A30" i="39"/>
  <c r="D31" i="39"/>
  <c r="I30" i="39"/>
  <c r="F32" i="39"/>
  <c r="E33" i="39"/>
  <c r="D172" i="18" l="1"/>
  <c r="E173" i="18"/>
  <c r="B31" i="39"/>
  <c r="A31" i="39"/>
  <c r="D32" i="39"/>
  <c r="I31" i="39"/>
  <c r="F33" i="39"/>
  <c r="E34" i="39"/>
  <c r="D173" i="18" l="1"/>
  <c r="E174" i="18"/>
  <c r="A32" i="39"/>
  <c r="B32" i="39"/>
  <c r="I32" i="39"/>
  <c r="D33" i="39"/>
  <c r="E35" i="39"/>
  <c r="F34" i="39"/>
  <c r="D174" i="18" l="1"/>
  <c r="E175" i="18"/>
  <c r="B33" i="39"/>
  <c r="A33" i="39"/>
  <c r="D34" i="39"/>
  <c r="I33" i="39"/>
  <c r="F35" i="39"/>
  <c r="E36" i="39"/>
  <c r="D175" i="18" l="1"/>
  <c r="E176" i="18"/>
  <c r="B34" i="39"/>
  <c r="A34" i="39"/>
  <c r="D35" i="39"/>
  <c r="I34" i="39"/>
  <c r="F36" i="39"/>
  <c r="E37" i="39"/>
  <c r="D176" i="18" l="1"/>
  <c r="E177" i="18"/>
  <c r="A35" i="39"/>
  <c r="B35" i="39"/>
  <c r="I35" i="39"/>
  <c r="D36" i="39"/>
  <c r="F37" i="39"/>
  <c r="E38" i="39"/>
  <c r="D177" i="18" l="1"/>
  <c r="E178" i="18"/>
  <c r="B36" i="39"/>
  <c r="A36" i="39"/>
  <c r="I36" i="39"/>
  <c r="D37" i="39"/>
  <c r="E39" i="39"/>
  <c r="F38" i="39"/>
  <c r="D178" i="18" l="1"/>
  <c r="E179" i="18"/>
  <c r="A37" i="39"/>
  <c r="B37" i="39"/>
  <c r="D38" i="39"/>
  <c r="I37" i="39"/>
  <c r="F39" i="39"/>
  <c r="E40" i="39"/>
  <c r="D179" i="18" l="1"/>
  <c r="E180" i="18"/>
  <c r="A38" i="39"/>
  <c r="B38" i="39"/>
  <c r="I38" i="39"/>
  <c r="D39" i="39"/>
  <c r="F40" i="39"/>
  <c r="E41" i="39"/>
  <c r="D180" i="18" l="1"/>
  <c r="E181" i="18"/>
  <c r="A39" i="39"/>
  <c r="B39" i="39"/>
  <c r="I39" i="39"/>
  <c r="D40" i="39"/>
  <c r="E42" i="39"/>
  <c r="F41" i="39"/>
  <c r="D181" i="18" l="1"/>
  <c r="E182" i="18"/>
  <c r="I40" i="39"/>
  <c r="B40" i="39"/>
  <c r="A40" i="39"/>
  <c r="D41" i="39"/>
  <c r="E43" i="39"/>
  <c r="F42" i="39"/>
  <c r="D182" i="18" l="1"/>
  <c r="E183" i="18"/>
  <c r="I41" i="39"/>
  <c r="A41" i="39"/>
  <c r="B41" i="39"/>
  <c r="D42" i="39"/>
  <c r="E44" i="39"/>
  <c r="E45" i="39" s="1"/>
  <c r="F43" i="39"/>
  <c r="D183" i="18" l="1"/>
  <c r="E184" i="18"/>
  <c r="F45" i="39"/>
  <c r="E46" i="39"/>
  <c r="A42" i="39"/>
  <c r="B42" i="39"/>
  <c r="I42" i="39"/>
  <c r="D43" i="39"/>
  <c r="F44" i="39"/>
  <c r="D184" i="18" l="1"/>
  <c r="E185" i="18"/>
  <c r="A43" i="39"/>
  <c r="B43" i="39"/>
  <c r="E47" i="39"/>
  <c r="F46" i="39"/>
  <c r="D45" i="39"/>
  <c r="I43" i="39"/>
  <c r="D44" i="39"/>
  <c r="D185" i="18" l="1"/>
  <c r="E186" i="18"/>
  <c r="I44" i="39"/>
  <c r="B44" i="39"/>
  <c r="A44" i="39"/>
  <c r="A45" i="39"/>
  <c r="B45" i="39"/>
  <c r="I45" i="39"/>
  <c r="D46" i="39"/>
  <c r="F47" i="39"/>
  <c r="E48" i="39"/>
  <c r="D186" i="18" l="1"/>
  <c r="E187" i="18"/>
  <c r="B46" i="39"/>
  <c r="A46" i="39"/>
  <c r="I46" i="39"/>
  <c r="D47" i="39"/>
  <c r="E49" i="39"/>
  <c r="F48" i="39"/>
  <c r="D187" i="18" l="1"/>
  <c r="E188" i="18"/>
  <c r="D48" i="39"/>
  <c r="E50" i="39"/>
  <c r="F49" i="39"/>
  <c r="I47" i="39"/>
  <c r="A47" i="39"/>
  <c r="B47" i="39"/>
  <c r="D188" i="18" l="1"/>
  <c r="E189" i="18"/>
  <c r="D49" i="39"/>
  <c r="E51" i="39"/>
  <c r="F50" i="39"/>
  <c r="A48" i="39"/>
  <c r="B48" i="39"/>
  <c r="I48" i="39"/>
  <c r="D189" i="18" l="1"/>
  <c r="E190" i="18"/>
  <c r="D50" i="39"/>
  <c r="E52" i="39"/>
  <c r="F51" i="39"/>
  <c r="A49" i="39"/>
  <c r="B49" i="39"/>
  <c r="I49" i="39"/>
  <c r="D190" i="18" l="1"/>
  <c r="E191" i="18"/>
  <c r="D51" i="39"/>
  <c r="F52" i="39"/>
  <c r="E53" i="39"/>
  <c r="A50" i="39"/>
  <c r="B50" i="39"/>
  <c r="I50" i="39"/>
  <c r="D191" i="18" l="1"/>
  <c r="E192" i="18"/>
  <c r="E54" i="39"/>
  <c r="F53" i="39"/>
  <c r="D52" i="39"/>
  <c r="A51" i="39"/>
  <c r="B51" i="39"/>
  <c r="I51" i="39"/>
  <c r="D192" i="18" l="1"/>
  <c r="E193" i="18"/>
  <c r="A52" i="39"/>
  <c r="B52" i="39"/>
  <c r="I52" i="39"/>
  <c r="D53" i="39"/>
  <c r="E55" i="39"/>
  <c r="F54" i="39"/>
  <c r="D193" i="18" l="1"/>
  <c r="E194" i="18"/>
  <c r="D54" i="39"/>
  <c r="F55" i="39"/>
  <c r="E56" i="39"/>
  <c r="A53" i="39"/>
  <c r="B53" i="39"/>
  <c r="I53" i="39"/>
  <c r="D194" i="18" l="1"/>
  <c r="E195" i="18"/>
  <c r="F56" i="39"/>
  <c r="E57" i="39"/>
  <c r="D55" i="39"/>
  <c r="A54" i="39"/>
  <c r="B54" i="39"/>
  <c r="I54" i="39"/>
  <c r="D195" i="18" l="1"/>
  <c r="E196" i="18"/>
  <c r="A55" i="39"/>
  <c r="B55" i="39"/>
  <c r="I55" i="39"/>
  <c r="F57" i="39"/>
  <c r="E58" i="39"/>
  <c r="D56" i="39"/>
  <c r="D196" i="18" l="1"/>
  <c r="E197" i="18"/>
  <c r="A56" i="39"/>
  <c r="B56" i="39"/>
  <c r="I56" i="39"/>
  <c r="E59" i="39"/>
  <c r="F58" i="39"/>
  <c r="D57" i="39"/>
  <c r="D197" i="18" l="1"/>
  <c r="E198" i="18"/>
  <c r="A57" i="39"/>
  <c r="B57" i="39"/>
  <c r="I57" i="39"/>
  <c r="D58" i="39"/>
  <c r="F59" i="39"/>
  <c r="E60" i="39"/>
  <c r="D198" i="18" l="1"/>
  <c r="E199" i="18"/>
  <c r="E61" i="39"/>
  <c r="F60" i="39"/>
  <c r="D59" i="39"/>
  <c r="A58" i="39"/>
  <c r="B58" i="39"/>
  <c r="I58" i="39"/>
  <c r="D199" i="18" l="1"/>
  <c r="E200" i="18"/>
  <c r="A59" i="39"/>
  <c r="B59" i="39"/>
  <c r="I59" i="39"/>
  <c r="D60" i="39"/>
  <c r="F61" i="39"/>
  <c r="E62" i="39"/>
  <c r="D200" i="18" l="1"/>
  <c r="E201" i="18"/>
  <c r="E63" i="39"/>
  <c r="F62" i="39"/>
  <c r="D61" i="39"/>
  <c r="A60" i="39"/>
  <c r="B60" i="39"/>
  <c r="I60" i="39"/>
  <c r="D201" i="18" l="1"/>
  <c r="E202" i="18"/>
  <c r="A61" i="39"/>
  <c r="B61" i="39"/>
  <c r="I61" i="39"/>
  <c r="D62" i="39"/>
  <c r="F63" i="39"/>
  <c r="E64" i="39"/>
  <c r="D202" i="18" l="1"/>
  <c r="E203" i="18"/>
  <c r="F64" i="39"/>
  <c r="E65" i="39"/>
  <c r="D63" i="39"/>
  <c r="B62" i="39"/>
  <c r="A62" i="39"/>
  <c r="I62" i="39"/>
  <c r="D203" i="18" l="1"/>
  <c r="E204" i="18"/>
  <c r="A63" i="39"/>
  <c r="B63" i="39"/>
  <c r="I63" i="39"/>
  <c r="E66" i="39"/>
  <c r="F65" i="39"/>
  <c r="D64" i="39"/>
  <c r="D204" i="18" l="1"/>
  <c r="E205" i="18"/>
  <c r="A64" i="39"/>
  <c r="B64" i="39"/>
  <c r="I64" i="39"/>
  <c r="D65" i="39"/>
  <c r="E67" i="39"/>
  <c r="F66" i="39"/>
  <c r="D205" i="18" l="1"/>
  <c r="E206" i="18"/>
  <c r="D66" i="39"/>
  <c r="F67" i="39"/>
  <c r="E68" i="39"/>
  <c r="A65" i="39"/>
  <c r="B65" i="39"/>
  <c r="I65" i="39"/>
  <c r="D206" i="18" l="1"/>
  <c r="E207" i="18"/>
  <c r="E69" i="39"/>
  <c r="F68" i="39"/>
  <c r="D67" i="39"/>
  <c r="B66" i="39"/>
  <c r="A66" i="39"/>
  <c r="I66" i="39"/>
  <c r="D207" i="18" l="1"/>
  <c r="E208" i="18"/>
  <c r="B67" i="39"/>
  <c r="A67" i="39"/>
  <c r="I67" i="39"/>
  <c r="D68" i="39"/>
  <c r="E70" i="39"/>
  <c r="F69" i="39"/>
  <c r="D208" i="18" l="1"/>
  <c r="E209" i="18"/>
  <c r="D69" i="39"/>
  <c r="E71" i="39"/>
  <c r="F70" i="39"/>
  <c r="A68" i="39"/>
  <c r="B68" i="39"/>
  <c r="I68" i="39"/>
  <c r="D209" i="18" l="1"/>
  <c r="E210" i="18"/>
  <c r="D70" i="39"/>
  <c r="F71" i="39"/>
  <c r="E72" i="39"/>
  <c r="A69" i="39"/>
  <c r="B69" i="39"/>
  <c r="I69" i="39"/>
  <c r="D210" i="18" l="1"/>
  <c r="E211" i="18"/>
  <c r="E73" i="39"/>
  <c r="F72" i="39"/>
  <c r="D71" i="39"/>
  <c r="A70" i="39"/>
  <c r="B70" i="39"/>
  <c r="I70" i="39"/>
  <c r="D211" i="18" l="1"/>
  <c r="E212" i="18"/>
  <c r="A71" i="39"/>
  <c r="B71" i="39"/>
  <c r="I71" i="39"/>
  <c r="D72" i="39"/>
  <c r="E74" i="39"/>
  <c r="F73" i="39"/>
  <c r="D212" i="18" l="1"/>
  <c r="E213" i="18"/>
  <c r="D73" i="39"/>
  <c r="E75" i="39"/>
  <c r="F74" i="39"/>
  <c r="B72" i="39"/>
  <c r="A72" i="39"/>
  <c r="I72" i="39"/>
  <c r="D213" i="18" l="1"/>
  <c r="E214" i="18"/>
  <c r="D74" i="39"/>
  <c r="F75" i="39"/>
  <c r="E76" i="39"/>
  <c r="A73" i="39"/>
  <c r="B73" i="39"/>
  <c r="I73" i="39"/>
  <c r="D214" i="18" l="1"/>
  <c r="E215" i="18"/>
  <c r="F76" i="39"/>
  <c r="E77" i="39"/>
  <c r="D75" i="39"/>
  <c r="A74" i="39"/>
  <c r="B74" i="39"/>
  <c r="I74" i="39"/>
  <c r="D215" i="18" l="1"/>
  <c r="E216" i="18"/>
  <c r="B75" i="39"/>
  <c r="A75" i="39"/>
  <c r="I75" i="39"/>
  <c r="E78" i="39"/>
  <c r="F77" i="39"/>
  <c r="D76" i="39"/>
  <c r="D216" i="18" l="1"/>
  <c r="E217" i="18"/>
  <c r="A76" i="39"/>
  <c r="B76" i="39"/>
  <c r="I76" i="39"/>
  <c r="D77" i="39"/>
  <c r="F78" i="39"/>
  <c r="E79" i="39"/>
  <c r="D217" i="18" l="1"/>
  <c r="E218" i="18"/>
  <c r="F79" i="39"/>
  <c r="E80" i="39"/>
  <c r="D78" i="39"/>
  <c r="B77" i="39"/>
  <c r="A77" i="39"/>
  <c r="I77" i="39"/>
  <c r="D218" i="18" l="1"/>
  <c r="E219" i="18"/>
  <c r="B78" i="39"/>
  <c r="A78" i="39"/>
  <c r="I78" i="39"/>
  <c r="E81" i="39"/>
  <c r="F80" i="39"/>
  <c r="D79" i="39"/>
  <c r="D219" i="18" l="1"/>
  <c r="E220" i="18"/>
  <c r="A79" i="39"/>
  <c r="B79" i="39"/>
  <c r="I79" i="39"/>
  <c r="D80" i="39"/>
  <c r="F81" i="39"/>
  <c r="E82" i="39"/>
  <c r="D220" i="18" l="1"/>
  <c r="E221" i="18"/>
  <c r="E83" i="39"/>
  <c r="F82" i="39"/>
  <c r="D81" i="39"/>
  <c r="B80" i="39"/>
  <c r="A80" i="39"/>
  <c r="I80" i="39"/>
  <c r="D221" i="18" l="1"/>
  <c r="E222" i="18"/>
  <c r="A81" i="39"/>
  <c r="B81" i="39"/>
  <c r="I81" i="39"/>
  <c r="D82" i="39"/>
  <c r="F83" i="39"/>
  <c r="E84" i="39"/>
  <c r="D222" i="18" l="1"/>
  <c r="E223" i="18"/>
  <c r="F84" i="39"/>
  <c r="E85" i="39"/>
  <c r="D83" i="39"/>
  <c r="B82" i="39"/>
  <c r="A82" i="39"/>
  <c r="I82" i="39"/>
  <c r="D223" i="18" l="1"/>
  <c r="E224" i="18"/>
  <c r="A83" i="39"/>
  <c r="B83" i="39"/>
  <c r="I83" i="39"/>
  <c r="F85" i="39"/>
  <c r="E86" i="39"/>
  <c r="D84" i="39"/>
  <c r="D224" i="18" l="1"/>
  <c r="E225" i="18"/>
  <c r="A84" i="39"/>
  <c r="B84" i="39"/>
  <c r="I84" i="39"/>
  <c r="E87" i="39"/>
  <c r="F86" i="39"/>
  <c r="D85" i="39"/>
  <c r="D225" i="18" l="1"/>
  <c r="E226" i="18"/>
  <c r="A85" i="39"/>
  <c r="B85" i="39"/>
  <c r="I85" i="39"/>
  <c r="D86" i="39"/>
  <c r="E88" i="39"/>
  <c r="F87" i="39"/>
  <c r="D226" i="18" l="1"/>
  <c r="E227" i="18"/>
  <c r="D87" i="39"/>
  <c r="F88" i="39"/>
  <c r="E89" i="39"/>
  <c r="A86" i="39"/>
  <c r="B86" i="39"/>
  <c r="I86" i="39"/>
  <c r="D227" i="18" l="1"/>
  <c r="E228" i="18"/>
  <c r="E90" i="39"/>
  <c r="F89" i="39"/>
  <c r="D88" i="39"/>
  <c r="A87" i="39"/>
  <c r="B87" i="39"/>
  <c r="I87" i="39"/>
  <c r="D228" i="18" l="1"/>
  <c r="E229" i="18"/>
  <c r="B88" i="39"/>
  <c r="A88" i="39"/>
  <c r="I88" i="39"/>
  <c r="D89" i="39"/>
  <c r="E91" i="39"/>
  <c r="F90" i="39"/>
  <c r="D229" i="18" l="1"/>
  <c r="E230" i="18"/>
  <c r="D90" i="39"/>
  <c r="F91" i="39"/>
  <c r="E92" i="39"/>
  <c r="A89" i="39"/>
  <c r="B89" i="39"/>
  <c r="I89" i="39"/>
  <c r="D230" i="18" l="1"/>
  <c r="E231" i="18"/>
  <c r="E93" i="39"/>
  <c r="F92" i="39"/>
  <c r="D91" i="39"/>
  <c r="A90" i="39"/>
  <c r="B90" i="39"/>
  <c r="I90" i="39"/>
  <c r="D231" i="18" l="1"/>
  <c r="E232" i="18"/>
  <c r="B91" i="39"/>
  <c r="A91" i="39"/>
  <c r="I91" i="39"/>
  <c r="D92" i="39"/>
  <c r="E94" i="39"/>
  <c r="F93" i="39"/>
  <c r="D232" i="18" l="1"/>
  <c r="E233" i="18"/>
  <c r="D93" i="39"/>
  <c r="E95" i="39"/>
  <c r="F94" i="39"/>
  <c r="B92" i="39"/>
  <c r="A92" i="39"/>
  <c r="I92" i="39"/>
  <c r="D233" i="18" l="1"/>
  <c r="E234" i="18"/>
  <c r="D94" i="39"/>
  <c r="F95" i="39"/>
  <c r="E96" i="39"/>
  <c r="A93" i="39"/>
  <c r="B93" i="39"/>
  <c r="I93" i="39"/>
  <c r="D234" i="18" l="1"/>
  <c r="E235" i="18"/>
  <c r="F96" i="39"/>
  <c r="E97" i="39"/>
  <c r="D95" i="39"/>
  <c r="A94" i="39"/>
  <c r="B94" i="39"/>
  <c r="I94" i="39"/>
  <c r="D235" i="18" l="1"/>
  <c r="E236" i="18"/>
  <c r="B95" i="39"/>
  <c r="A95" i="39"/>
  <c r="I95" i="39"/>
  <c r="F97" i="39"/>
  <c r="E98" i="39"/>
  <c r="D96" i="39"/>
  <c r="D236" i="18" l="1"/>
  <c r="E237" i="18"/>
  <c r="B96" i="39"/>
  <c r="A96" i="39"/>
  <c r="I96" i="39"/>
  <c r="E99" i="39"/>
  <c r="F98" i="39"/>
  <c r="D97" i="39"/>
  <c r="D237" i="18" l="1"/>
  <c r="E238" i="18"/>
  <c r="A97" i="39"/>
  <c r="B97" i="39"/>
  <c r="I97" i="39"/>
  <c r="D98" i="39"/>
  <c r="F99" i="39"/>
  <c r="E100" i="39"/>
  <c r="D238" i="18" l="1"/>
  <c r="E239" i="18"/>
  <c r="F100" i="39"/>
  <c r="E101" i="39"/>
  <c r="D99" i="39"/>
  <c r="A98" i="39"/>
  <c r="B98" i="39"/>
  <c r="I98" i="39"/>
  <c r="D239" i="18" l="1"/>
  <c r="E240" i="18"/>
  <c r="A99" i="39"/>
  <c r="B99" i="39"/>
  <c r="I99" i="39"/>
  <c r="E102" i="39"/>
  <c r="F101" i="39"/>
  <c r="D100" i="39"/>
  <c r="D240" i="18" l="1"/>
  <c r="E241" i="18"/>
  <c r="B100" i="39"/>
  <c r="A100" i="39"/>
  <c r="I100" i="39"/>
  <c r="D101" i="39"/>
  <c r="E103" i="39"/>
  <c r="F102" i="39"/>
  <c r="D241" i="18" l="1"/>
  <c r="E242" i="18"/>
  <c r="D102" i="39"/>
  <c r="F103" i="39"/>
  <c r="E104" i="39"/>
  <c r="A101" i="39"/>
  <c r="B101" i="39"/>
  <c r="I101" i="39"/>
  <c r="D242" i="18" l="1"/>
  <c r="E243" i="18"/>
  <c r="E105" i="39"/>
  <c r="F104" i="39"/>
  <c r="D103" i="39"/>
  <c r="B102" i="39"/>
  <c r="A102" i="39"/>
  <c r="I102" i="39"/>
  <c r="D243" i="18" l="1"/>
  <c r="E244" i="18"/>
  <c r="B103" i="39"/>
  <c r="A103" i="39"/>
  <c r="I103" i="39"/>
  <c r="D104" i="39"/>
  <c r="E106" i="39"/>
  <c r="F105" i="39"/>
  <c r="D244" i="18" l="1"/>
  <c r="E245" i="18"/>
  <c r="D105" i="39"/>
  <c r="E107" i="39"/>
  <c r="F106" i="39"/>
  <c r="B104" i="39"/>
  <c r="A104" i="39"/>
  <c r="I104" i="39"/>
  <c r="D245" i="18" l="1"/>
  <c r="E246" i="18"/>
  <c r="D106" i="39"/>
  <c r="E108" i="39"/>
  <c r="F107" i="39"/>
  <c r="A105" i="39"/>
  <c r="B105" i="39"/>
  <c r="I105" i="39"/>
  <c r="D246" i="18" l="1"/>
  <c r="E247" i="18"/>
  <c r="D107" i="39"/>
  <c r="F108" i="39"/>
  <c r="E109" i="39"/>
  <c r="B106" i="39"/>
  <c r="A106" i="39"/>
  <c r="I106" i="39"/>
  <c r="D247" i="18" l="1"/>
  <c r="E248" i="18"/>
  <c r="F109" i="39"/>
  <c r="E110" i="39"/>
  <c r="D108" i="39"/>
  <c r="A107" i="39"/>
  <c r="B107" i="39"/>
  <c r="I107" i="39"/>
  <c r="D248" i="18" l="1"/>
  <c r="E249" i="18"/>
  <c r="A108" i="39"/>
  <c r="B108" i="39"/>
  <c r="I108" i="39"/>
  <c r="F110" i="39"/>
  <c r="E111" i="39"/>
  <c r="D109" i="39"/>
  <c r="D249" i="18" l="1"/>
  <c r="E250" i="18"/>
  <c r="A109" i="39"/>
  <c r="B109" i="39"/>
  <c r="I109" i="39"/>
  <c r="F111" i="39"/>
  <c r="E112" i="39"/>
  <c r="D110" i="39"/>
  <c r="D250" i="18" l="1"/>
  <c r="E251" i="18"/>
  <c r="A110" i="39"/>
  <c r="B110" i="39"/>
  <c r="I110" i="39"/>
  <c r="E113" i="39"/>
  <c r="F112" i="39"/>
  <c r="D111" i="39"/>
  <c r="D251" i="18" l="1"/>
  <c r="E252" i="18"/>
  <c r="B111" i="39"/>
  <c r="A111" i="39"/>
  <c r="I111" i="39"/>
  <c r="D112" i="39"/>
  <c r="F113" i="39"/>
  <c r="E114" i="39"/>
  <c r="D252" i="18" l="1"/>
  <c r="E253" i="18"/>
  <c r="E115" i="39"/>
  <c r="F114" i="39"/>
  <c r="D113" i="39"/>
  <c r="A112" i="39"/>
  <c r="B112" i="39"/>
  <c r="I112" i="39"/>
  <c r="D253" i="18" l="1"/>
  <c r="E254" i="18"/>
  <c r="A113" i="39"/>
  <c r="B113" i="39"/>
  <c r="I113" i="39"/>
  <c r="D114" i="39"/>
  <c r="E116" i="39"/>
  <c r="F115" i="39"/>
  <c r="D254" i="18" l="1"/>
  <c r="E255" i="18"/>
  <c r="D115" i="39"/>
  <c r="F116" i="39"/>
  <c r="E117" i="39"/>
  <c r="B114" i="39"/>
  <c r="A114" i="39"/>
  <c r="I114" i="39"/>
  <c r="D255" i="18" l="1"/>
  <c r="E256" i="18"/>
  <c r="E118" i="39"/>
  <c r="F117" i="39"/>
  <c r="D116" i="39"/>
  <c r="A115" i="39"/>
  <c r="B115" i="39"/>
  <c r="I115" i="39"/>
  <c r="D256" i="18" l="1"/>
  <c r="E257" i="18"/>
  <c r="B116" i="39"/>
  <c r="A116" i="39"/>
  <c r="I116" i="39"/>
  <c r="D117" i="39"/>
  <c r="E119" i="39"/>
  <c r="F118" i="39"/>
  <c r="D257" i="18" l="1"/>
  <c r="E258" i="18"/>
  <c r="D118" i="39"/>
  <c r="E120" i="39"/>
  <c r="F119" i="39"/>
  <c r="B117" i="39"/>
  <c r="A117" i="39"/>
  <c r="I117" i="39"/>
  <c r="D258" i="18" l="1"/>
  <c r="E259" i="18"/>
  <c r="D119" i="39"/>
  <c r="F120" i="39"/>
  <c r="E121" i="39"/>
  <c r="A118" i="39"/>
  <c r="B118" i="39"/>
  <c r="I118" i="39"/>
  <c r="D259" i="18" l="1"/>
  <c r="E260" i="18"/>
  <c r="F121" i="39"/>
  <c r="E122" i="39"/>
  <c r="D120" i="39"/>
  <c r="B119" i="39"/>
  <c r="A119" i="39"/>
  <c r="I119" i="39"/>
  <c r="D260" i="18" l="1"/>
  <c r="E261" i="18"/>
  <c r="A120" i="39"/>
  <c r="B120" i="39"/>
  <c r="I120" i="39"/>
  <c r="E123" i="39"/>
  <c r="F122" i="39"/>
  <c r="D121" i="39"/>
  <c r="D261" i="18" l="1"/>
  <c r="E262" i="18"/>
  <c r="B121" i="39"/>
  <c r="A121" i="39"/>
  <c r="I121" i="39"/>
  <c r="D122" i="39"/>
  <c r="E124" i="39"/>
  <c r="F123" i="39"/>
  <c r="D262" i="18" l="1"/>
  <c r="E263" i="18"/>
  <c r="D123" i="39"/>
  <c r="E125" i="39"/>
  <c r="F124" i="39"/>
  <c r="B122" i="39"/>
  <c r="A122" i="39"/>
  <c r="I122" i="39"/>
  <c r="D263" i="18" l="1"/>
  <c r="E264" i="18"/>
  <c r="D124" i="39"/>
  <c r="E126" i="39"/>
  <c r="F125" i="39"/>
  <c r="A123" i="39"/>
  <c r="B123" i="39"/>
  <c r="I123" i="39"/>
  <c r="D264" i="18" l="1"/>
  <c r="E265" i="18"/>
  <c r="D125" i="39"/>
  <c r="E127" i="39"/>
  <c r="F126" i="39"/>
  <c r="A124" i="39"/>
  <c r="B124" i="39"/>
  <c r="I124" i="39"/>
  <c r="D265" i="18" l="1"/>
  <c r="E266" i="18"/>
  <c r="D126" i="39"/>
  <c r="F127" i="39"/>
  <c r="E128" i="39"/>
  <c r="B125" i="39"/>
  <c r="A125" i="39"/>
  <c r="I125" i="39"/>
  <c r="D266" i="18" l="1"/>
  <c r="E267" i="18"/>
  <c r="E129" i="39"/>
  <c r="E130" i="39" s="1"/>
  <c r="F128" i="39"/>
  <c r="D127" i="39"/>
  <c r="B126" i="39"/>
  <c r="A126" i="39"/>
  <c r="I126" i="39"/>
  <c r="E268" i="18" l="1"/>
  <c r="D267" i="18"/>
  <c r="E131" i="39"/>
  <c r="F130" i="39"/>
  <c r="B127" i="39"/>
  <c r="A127" i="39"/>
  <c r="I127" i="39"/>
  <c r="D128" i="39"/>
  <c r="F129" i="39"/>
  <c r="D268" i="18" l="1"/>
  <c r="E269" i="18"/>
  <c r="D130" i="39"/>
  <c r="F131" i="39"/>
  <c r="E132" i="39"/>
  <c r="D129" i="39"/>
  <c r="A128" i="39"/>
  <c r="B128" i="39"/>
  <c r="I128" i="39"/>
  <c r="E270" i="18" l="1"/>
  <c r="D269" i="18"/>
  <c r="I130" i="39"/>
  <c r="A130" i="39"/>
  <c r="B130" i="39"/>
  <c r="E133" i="39"/>
  <c r="F132" i="39"/>
  <c r="D131" i="39"/>
  <c r="A129" i="39"/>
  <c r="B129" i="39"/>
  <c r="I129" i="39"/>
  <c r="D270" i="18" l="1"/>
  <c r="E271" i="18"/>
  <c r="I131" i="39"/>
  <c r="A131" i="39"/>
  <c r="B131" i="39"/>
  <c r="D132" i="39"/>
  <c r="E134" i="39"/>
  <c r="F133" i="39"/>
  <c r="E272" i="18" l="1"/>
  <c r="D271" i="18"/>
  <c r="I132" i="39"/>
  <c r="A132" i="39"/>
  <c r="B132" i="39"/>
  <c r="D133" i="39"/>
  <c r="E135" i="39"/>
  <c r="F134" i="39"/>
  <c r="D272" i="18" l="1"/>
  <c r="H272" i="18" s="1"/>
  <c r="G272" i="18"/>
  <c r="F272" i="18"/>
  <c r="E273" i="18"/>
  <c r="I133" i="39"/>
  <c r="B133" i="39"/>
  <c r="A133" i="39"/>
  <c r="D134" i="39"/>
  <c r="E136" i="39"/>
  <c r="F135" i="39"/>
  <c r="I272" i="18" l="1"/>
  <c r="E274" i="18"/>
  <c r="D273" i="18"/>
  <c r="I134" i="39"/>
  <c r="B134" i="39"/>
  <c r="A134" i="39"/>
  <c r="F136" i="39"/>
  <c r="E137" i="39"/>
  <c r="D135" i="39"/>
  <c r="D274" i="18" l="1"/>
  <c r="I274" i="18" s="1"/>
  <c r="E275" i="18"/>
  <c r="F273" i="18"/>
  <c r="H273" i="18"/>
  <c r="I273" i="18"/>
  <c r="G273" i="18"/>
  <c r="I135" i="39"/>
  <c r="A135" i="39"/>
  <c r="B135" i="39"/>
  <c r="E138" i="39"/>
  <c r="F137" i="39"/>
  <c r="D136" i="39"/>
  <c r="G274" i="18" l="1"/>
  <c r="F274" i="18"/>
  <c r="H274" i="18"/>
  <c r="E276" i="18"/>
  <c r="D275" i="18"/>
  <c r="I136" i="39"/>
  <c r="B136" i="39"/>
  <c r="A136" i="39"/>
  <c r="D137" i="39"/>
  <c r="E139" i="39"/>
  <c r="F138" i="39"/>
  <c r="D276" i="18" l="1"/>
  <c r="H275" i="18"/>
  <c r="G275" i="18"/>
  <c r="F275" i="18"/>
  <c r="G276" i="18"/>
  <c r="I276" i="18"/>
  <c r="H276" i="18"/>
  <c r="F276" i="18"/>
  <c r="E277" i="18"/>
  <c r="D277" i="18" s="1"/>
  <c r="I275" i="18"/>
  <c r="I137" i="39"/>
  <c r="B137" i="39"/>
  <c r="A137" i="39"/>
  <c r="D138" i="39"/>
  <c r="F139" i="39"/>
  <c r="E140" i="39"/>
  <c r="I277" i="18" l="1"/>
  <c r="G277" i="18"/>
  <c r="F277" i="18"/>
  <c r="H277" i="18"/>
  <c r="E278" i="18"/>
  <c r="D278" i="18" s="1"/>
  <c r="I138" i="39"/>
  <c r="A138" i="39"/>
  <c r="B138" i="39"/>
  <c r="F140" i="39"/>
  <c r="E141" i="39"/>
  <c r="D139" i="39"/>
  <c r="I278" i="18" l="1"/>
  <c r="G278" i="18"/>
  <c r="H278" i="18"/>
  <c r="F278" i="18"/>
  <c r="E279" i="18"/>
  <c r="I139" i="39"/>
  <c r="A139" i="39"/>
  <c r="B139" i="39"/>
  <c r="E142" i="39"/>
  <c r="F141" i="39"/>
  <c r="D140" i="39"/>
  <c r="E280" i="18" l="1"/>
  <c r="D279" i="18"/>
  <c r="F279" i="18" s="1"/>
  <c r="I140" i="39"/>
  <c r="A140" i="39"/>
  <c r="B140" i="39"/>
  <c r="D141" i="39"/>
  <c r="E143" i="39"/>
  <c r="F142" i="39"/>
  <c r="I279" i="18" l="1"/>
  <c r="H279" i="18"/>
  <c r="E281" i="18"/>
  <c r="D280" i="18"/>
  <c r="F280" i="18" s="1"/>
  <c r="G279" i="18"/>
  <c r="I141" i="39"/>
  <c r="B141" i="39"/>
  <c r="A141" i="39"/>
  <c r="D142" i="39"/>
  <c r="F143" i="39"/>
  <c r="E144" i="39"/>
  <c r="G280" i="18" l="1"/>
  <c r="I280" i="18"/>
  <c r="E282" i="18"/>
  <c r="D281" i="18"/>
  <c r="H280" i="18"/>
  <c r="I142" i="39"/>
  <c r="A142" i="39"/>
  <c r="B142" i="39"/>
  <c r="E145" i="39"/>
  <c r="F144" i="39"/>
  <c r="D143" i="39"/>
  <c r="D282" i="18" l="1"/>
  <c r="I282" i="18" s="1"/>
  <c r="I281" i="18"/>
  <c r="H281" i="18"/>
  <c r="G281" i="18"/>
  <c r="H282" i="18"/>
  <c r="E283" i="18"/>
  <c r="D283" i="18" s="1"/>
  <c r="F281" i="18"/>
  <c r="I143" i="39"/>
  <c r="A143" i="39"/>
  <c r="B143" i="39"/>
  <c r="D144" i="39"/>
  <c r="F145" i="39"/>
  <c r="E146" i="39"/>
  <c r="F282" i="18" l="1"/>
  <c r="G282" i="18"/>
  <c r="G283" i="18"/>
  <c r="H283" i="18"/>
  <c r="I283" i="18"/>
  <c r="F283" i="18"/>
  <c r="E284" i="18"/>
  <c r="I144" i="39"/>
  <c r="B144" i="39"/>
  <c r="A144" i="39"/>
  <c r="E147" i="39"/>
  <c r="F146" i="39"/>
  <c r="D145" i="39"/>
  <c r="E285" i="18" l="1"/>
  <c r="D284" i="18"/>
  <c r="F284" i="18" s="1"/>
  <c r="I145" i="39"/>
  <c r="B145" i="39"/>
  <c r="A145" i="39"/>
  <c r="D146" i="39"/>
  <c r="F147" i="39"/>
  <c r="E148" i="39"/>
  <c r="H284" i="18" l="1"/>
  <c r="E286" i="18"/>
  <c r="D285" i="18"/>
  <c r="G284" i="18"/>
  <c r="I284" i="18"/>
  <c r="I146" i="39"/>
  <c r="B146" i="39"/>
  <c r="A146" i="39"/>
  <c r="F148" i="39"/>
  <c r="E149" i="39"/>
  <c r="D147" i="39"/>
  <c r="D286" i="18" l="1"/>
  <c r="I286" i="18" s="1"/>
  <c r="I285" i="18"/>
  <c r="H285" i="18"/>
  <c r="G285" i="18"/>
  <c r="E287" i="18"/>
  <c r="F285" i="18"/>
  <c r="I147" i="39"/>
  <c r="A147" i="39"/>
  <c r="B147" i="39"/>
  <c r="F149" i="39"/>
  <c r="E150" i="39"/>
  <c r="D148" i="39"/>
  <c r="G286" i="18" l="1"/>
  <c r="F286" i="18"/>
  <c r="H286" i="18"/>
  <c r="E288" i="18"/>
  <c r="D287" i="18"/>
  <c r="I148" i="39"/>
  <c r="B148" i="39"/>
  <c r="A148" i="39"/>
  <c r="E151" i="39"/>
  <c r="E152" i="39" s="1"/>
  <c r="F150" i="39"/>
  <c r="D149" i="39"/>
  <c r="D288" i="18" l="1"/>
  <c r="H288" i="18" s="1"/>
  <c r="E289" i="18"/>
  <c r="F287" i="18"/>
  <c r="H287" i="18"/>
  <c r="I287" i="18"/>
  <c r="G287" i="18"/>
  <c r="I149" i="39"/>
  <c r="B149" i="39"/>
  <c r="A149" i="39"/>
  <c r="F152" i="39"/>
  <c r="E153" i="39"/>
  <c r="D150" i="39"/>
  <c r="F151" i="39"/>
  <c r="I288" i="18" l="1"/>
  <c r="F288" i="18"/>
  <c r="G288" i="18"/>
  <c r="E290" i="18"/>
  <c r="D289" i="18"/>
  <c r="H289" i="18" s="1"/>
  <c r="I150" i="39"/>
  <c r="A150" i="39"/>
  <c r="B150" i="39"/>
  <c r="F153" i="39"/>
  <c r="D152" i="39"/>
  <c r="D151" i="39"/>
  <c r="F289" i="18" l="1"/>
  <c r="G289" i="18"/>
  <c r="I289" i="18"/>
  <c r="E291" i="18"/>
  <c r="D290" i="18"/>
  <c r="A152" i="39"/>
  <c r="B152" i="39"/>
  <c r="I151" i="39"/>
  <c r="A151" i="39"/>
  <c r="B151" i="39"/>
  <c r="I152" i="39"/>
  <c r="D153" i="39"/>
  <c r="D291" i="18" l="1"/>
  <c r="G291" i="18" s="1"/>
  <c r="G290" i="18"/>
  <c r="E292" i="18"/>
  <c r="I290" i="18"/>
  <c r="F290" i="18"/>
  <c r="H290" i="18"/>
  <c r="B153" i="39"/>
  <c r="A153" i="39"/>
  <c r="I153" i="39"/>
  <c r="H291" i="18" l="1"/>
  <c r="D292" i="18"/>
  <c r="F291" i="18"/>
  <c r="I291" i="18"/>
  <c r="H292" i="18"/>
  <c r="F292" i="18"/>
  <c r="G292" i="18"/>
  <c r="I292" i="18"/>
  <c r="E293" i="18"/>
  <c r="K10" i="39"/>
  <c r="E294" i="18" l="1"/>
  <c r="D293" i="18"/>
  <c r="W9" i="39"/>
  <c r="X9" i="39" s="1"/>
  <c r="Y10" i="39" s="1"/>
  <c r="G293" i="18" l="1"/>
  <c r="D294" i="18"/>
  <c r="G294" i="18" s="1"/>
  <c r="H293" i="18"/>
  <c r="F294" i="18"/>
  <c r="H294" i="18"/>
  <c r="E295" i="18"/>
  <c r="F293" i="18"/>
  <c r="I293" i="18"/>
  <c r="W31" i="39"/>
  <c r="X31" i="39" s="1"/>
  <c r="W16" i="39"/>
  <c r="X16" i="39" s="1"/>
  <c r="W15" i="39"/>
  <c r="X15" i="39" s="1"/>
  <c r="W29" i="39"/>
  <c r="X29" i="39" s="1"/>
  <c r="W14" i="39"/>
  <c r="X14" i="39" s="1"/>
  <c r="W23" i="39"/>
  <c r="X23" i="39" s="1"/>
  <c r="W20" i="39"/>
  <c r="X20" i="39" s="1"/>
  <c r="W13" i="39"/>
  <c r="X13" i="39" s="1"/>
  <c r="W30" i="39"/>
  <c r="X30" i="39" s="1"/>
  <c r="W10" i="39"/>
  <c r="X10" i="39" s="1"/>
  <c r="W21" i="39"/>
  <c r="X21" i="39" s="1"/>
  <c r="W27" i="39"/>
  <c r="X27" i="39" s="1"/>
  <c r="W26" i="39"/>
  <c r="X26" i="39" s="1"/>
  <c r="W34" i="39"/>
  <c r="X34" i="39" s="1"/>
  <c r="W12" i="39"/>
  <c r="X12" i="39" s="1"/>
  <c r="W22" i="39"/>
  <c r="X22" i="39" s="1"/>
  <c r="W28" i="39"/>
  <c r="X28" i="39" s="1"/>
  <c r="W19" i="39"/>
  <c r="X19" i="39" s="1"/>
  <c r="W25" i="39"/>
  <c r="X25" i="39" s="1"/>
  <c r="W18" i="39"/>
  <c r="X18" i="39" s="1"/>
  <c r="W11" i="39"/>
  <c r="X11" i="39" s="1"/>
  <c r="W33" i="39"/>
  <c r="X33" i="39" s="1"/>
  <c r="W32" i="39"/>
  <c r="X32" i="39" s="1"/>
  <c r="W24" i="39"/>
  <c r="X24" i="39" s="1"/>
  <c r="W17" i="39"/>
  <c r="X17" i="39" s="1"/>
  <c r="I294" i="18" l="1"/>
  <c r="E296" i="18"/>
  <c r="D295" i="18"/>
  <c r="Z10" i="39"/>
  <c r="AA10" i="39" s="1"/>
  <c r="S10" i="39" s="1"/>
  <c r="Y11" i="39"/>
  <c r="Y12" i="39" s="1"/>
  <c r="D296" i="18" l="1"/>
  <c r="I296" i="18" s="1"/>
  <c r="E297" i="18"/>
  <c r="H295" i="18"/>
  <c r="F295" i="18"/>
  <c r="G295" i="18"/>
  <c r="I295" i="18"/>
  <c r="C10" i="39"/>
  <c r="O10" i="39" s="1"/>
  <c r="P10" i="39"/>
  <c r="R10" i="39" s="1"/>
  <c r="Z11" i="39"/>
  <c r="Z12" i="39"/>
  <c r="Y13" i="39"/>
  <c r="D297" i="18" l="1"/>
  <c r="G297" i="18" s="1"/>
  <c r="F296" i="18"/>
  <c r="H296" i="18"/>
  <c r="G296" i="18"/>
  <c r="E298" i="18"/>
  <c r="Q10" i="39"/>
  <c r="H11" i="39"/>
  <c r="M11" i="39" s="1"/>
  <c r="AA11" i="39"/>
  <c r="S11" i="39" s="1"/>
  <c r="C11" i="39" s="1"/>
  <c r="H12" i="39" s="1"/>
  <c r="Z13" i="39"/>
  <c r="Y14" i="39"/>
  <c r="H297" i="18" l="1"/>
  <c r="I297" i="18"/>
  <c r="F297" i="18"/>
  <c r="E299" i="18"/>
  <c r="D298" i="18"/>
  <c r="P11" i="39"/>
  <c r="AA12" i="39"/>
  <c r="S12" i="39" s="1"/>
  <c r="C12" i="39" s="1"/>
  <c r="H13" i="39" s="1"/>
  <c r="L13" i="39" s="1"/>
  <c r="L11" i="39"/>
  <c r="K11" i="39"/>
  <c r="L12" i="39"/>
  <c r="K12" i="39"/>
  <c r="M12" i="39"/>
  <c r="Z14" i="39"/>
  <c r="Y15" i="39"/>
  <c r="D299" i="18" l="1"/>
  <c r="F299" i="18" s="1"/>
  <c r="E300" i="18"/>
  <c r="F298" i="18"/>
  <c r="I298" i="18"/>
  <c r="G298" i="18"/>
  <c r="H298" i="18"/>
  <c r="AA13" i="39"/>
  <c r="S13" i="39" s="1"/>
  <c r="C13" i="39" s="1"/>
  <c r="H14" i="39" s="1"/>
  <c r="M14" i="39" s="1"/>
  <c r="K13" i="39"/>
  <c r="M13" i="39"/>
  <c r="Z15" i="39"/>
  <c r="Y16" i="39"/>
  <c r="D300" i="18" l="1"/>
  <c r="G300" i="18" s="1"/>
  <c r="H299" i="18"/>
  <c r="G299" i="18"/>
  <c r="I299" i="18"/>
  <c r="AA14" i="39"/>
  <c r="L14" i="39"/>
  <c r="K14" i="39"/>
  <c r="Z16" i="39"/>
  <c r="Y17" i="39"/>
  <c r="I300" i="18" l="1"/>
  <c r="H300" i="18"/>
  <c r="F300" i="18"/>
  <c r="AA15" i="39"/>
  <c r="S15" i="39" s="1"/>
  <c r="C15" i="39" s="1"/>
  <c r="H16" i="39" s="1"/>
  <c r="L16" i="39" s="1"/>
  <c r="S14" i="39"/>
  <c r="Z17" i="39"/>
  <c r="Y18" i="39"/>
  <c r="AA16" i="39" l="1"/>
  <c r="S16" i="39" s="1"/>
  <c r="C16" i="39" s="1"/>
  <c r="H17" i="39" s="1"/>
  <c r="K17" i="39" s="1"/>
  <c r="C14" i="39"/>
  <c r="H15" i="39" s="1"/>
  <c r="K16" i="39"/>
  <c r="M16" i="39"/>
  <c r="Z18" i="39"/>
  <c r="Y19" i="39"/>
  <c r="AA17" i="39" l="1"/>
  <c r="S17" i="39" s="1"/>
  <c r="C17" i="39" s="1"/>
  <c r="H18" i="39" s="1"/>
  <c r="M18" i="39" s="1"/>
  <c r="L15" i="39"/>
  <c r="M15" i="39"/>
  <c r="K15" i="39"/>
  <c r="M17" i="39"/>
  <c r="L17" i="39"/>
  <c r="AA18" i="39"/>
  <c r="S18" i="39" s="1"/>
  <c r="C18" i="39" s="1"/>
  <c r="Z19" i="39"/>
  <c r="Y20" i="39"/>
  <c r="L18" i="39" l="1"/>
  <c r="K18" i="39"/>
  <c r="AA19" i="39"/>
  <c r="S19" i="39" s="1"/>
  <c r="C19" i="39" s="1"/>
  <c r="H19" i="39"/>
  <c r="K19" i="39" s="1"/>
  <c r="Z20" i="39"/>
  <c r="Y21" i="39"/>
  <c r="H20" i="39" l="1"/>
  <c r="L19" i="39"/>
  <c r="M19" i="39"/>
  <c r="AA20" i="39"/>
  <c r="S20" i="39" s="1"/>
  <c r="C20" i="39" s="1"/>
  <c r="Z21" i="39"/>
  <c r="Y22" i="39"/>
  <c r="H21" i="39" l="1"/>
  <c r="L21" i="39" s="1"/>
  <c r="M20" i="39"/>
  <c r="K20" i="39"/>
  <c r="L20" i="39"/>
  <c r="AA21" i="39"/>
  <c r="S21" i="39" s="1"/>
  <c r="Z22" i="39"/>
  <c r="Y23" i="39"/>
  <c r="K21" i="39" l="1"/>
  <c r="M21" i="39"/>
  <c r="C21" i="39"/>
  <c r="AA22" i="39"/>
  <c r="S22" i="39" s="1"/>
  <c r="C22" i="39" s="1"/>
  <c r="Z23" i="39"/>
  <c r="Y24" i="39"/>
  <c r="H23" i="39" l="1"/>
  <c r="L23" i="39" s="1"/>
  <c r="Z24" i="39"/>
  <c r="Y25" i="39"/>
  <c r="AA23" i="39"/>
  <c r="S23" i="39" s="1"/>
  <c r="C23" i="39" s="1"/>
  <c r="H22" i="39"/>
  <c r="M23" i="39" l="1"/>
  <c r="AA24" i="39"/>
  <c r="S24" i="39" s="1"/>
  <c r="C24" i="39" s="1"/>
  <c r="H25" i="39" s="1"/>
  <c r="K23" i="39"/>
  <c r="H24" i="39"/>
  <c r="K24" i="39" s="1"/>
  <c r="Z25" i="39"/>
  <c r="Y26" i="39"/>
  <c r="M22" i="39"/>
  <c r="L22" i="39"/>
  <c r="K22" i="39"/>
  <c r="M24" i="39" l="1"/>
  <c r="L24" i="39"/>
  <c r="K25" i="39"/>
  <c r="L25" i="39"/>
  <c r="M25" i="39"/>
  <c r="Z26" i="39"/>
  <c r="Y27" i="39"/>
  <c r="AA25" i="39"/>
  <c r="S25" i="39" s="1"/>
  <c r="C25" i="39" s="1"/>
  <c r="H26" i="39" l="1"/>
  <c r="M26" i="39" s="1"/>
  <c r="AA26" i="39"/>
  <c r="S26" i="39" s="1"/>
  <c r="C26" i="39" s="1"/>
  <c r="H27" i="39" s="1"/>
  <c r="Z27" i="39"/>
  <c r="Y28" i="39"/>
  <c r="K26" i="39" l="1"/>
  <c r="L26" i="39"/>
  <c r="Z28" i="39"/>
  <c r="Y29" i="39"/>
  <c r="M27" i="39"/>
  <c r="L27" i="39"/>
  <c r="K27" i="39"/>
  <c r="AA27" i="39"/>
  <c r="AA28" i="39" l="1"/>
  <c r="S28" i="39" s="1"/>
  <c r="C28" i="39" s="1"/>
  <c r="S27" i="39"/>
  <c r="C27" i="39" s="1"/>
  <c r="Z29" i="39"/>
  <c r="Y30" i="39"/>
  <c r="H29" i="39" l="1"/>
  <c r="K29" i="39" s="1"/>
  <c r="H28" i="39"/>
  <c r="Z30" i="39"/>
  <c r="Y31" i="39"/>
  <c r="AA29" i="39"/>
  <c r="AA30" i="39" l="1"/>
  <c r="S30" i="39" s="1"/>
  <c r="C30" i="39" s="1"/>
  <c r="H31" i="39" s="1"/>
  <c r="L29" i="39"/>
  <c r="M29" i="39"/>
  <c r="S29" i="39"/>
  <c r="C29" i="39" s="1"/>
  <c r="K28" i="39"/>
  <c r="L28" i="39"/>
  <c r="M28" i="39"/>
  <c r="Z31" i="39"/>
  <c r="Y32" i="39"/>
  <c r="H30" i="39" l="1"/>
  <c r="AA31" i="39"/>
  <c r="S31" i="39" s="1"/>
  <c r="C31" i="39" s="1"/>
  <c r="H32" i="39" s="1"/>
  <c r="Z32" i="39"/>
  <c r="Y33" i="39"/>
  <c r="K31" i="39"/>
  <c r="M31" i="39"/>
  <c r="L31" i="39"/>
  <c r="M30" i="39" l="1"/>
  <c r="K30" i="39"/>
  <c r="L30" i="39"/>
  <c r="Z33" i="39"/>
  <c r="Y34" i="39"/>
  <c r="L32" i="39"/>
  <c r="K32" i="39"/>
  <c r="M32" i="39"/>
  <c r="AA32" i="39"/>
  <c r="S32" i="39" s="1"/>
  <c r="C32" i="39" s="1"/>
  <c r="H33" i="39" l="1"/>
  <c r="K33" i="39" s="1"/>
  <c r="AA33" i="39"/>
  <c r="S33" i="39" s="1"/>
  <c r="Z34" i="39"/>
  <c r="Y35" i="39"/>
  <c r="AA34" i="39" l="1"/>
  <c r="S34" i="39" s="1"/>
  <c r="C34" i="39" s="1"/>
  <c r="M33" i="39"/>
  <c r="L33" i="39"/>
  <c r="C33" i="39"/>
  <c r="T34" i="39"/>
  <c r="H35" i="39" l="1"/>
  <c r="U35" i="39"/>
  <c r="T35" i="39"/>
  <c r="H34" i="39"/>
  <c r="W35" i="39" l="1"/>
  <c r="X35" i="39" s="1"/>
  <c r="Z35" i="39" s="1"/>
  <c r="V35" i="39"/>
  <c r="M35" i="39"/>
  <c r="L35" i="39"/>
  <c r="K35" i="39"/>
  <c r="M34" i="39"/>
  <c r="L34" i="39"/>
  <c r="K34" i="39"/>
  <c r="U36" i="39"/>
  <c r="T36" i="39"/>
  <c r="Y36" i="39" l="1"/>
  <c r="W36" i="39"/>
  <c r="X36" i="39" s="1"/>
  <c r="V36" i="39"/>
  <c r="U37" i="39"/>
  <c r="T37" i="39"/>
  <c r="AA35" i="39"/>
  <c r="S35" i="39" s="1"/>
  <c r="Z36" i="39" l="1"/>
  <c r="AA36" i="39" s="1"/>
  <c r="S36" i="39" s="1"/>
  <c r="C36" i="39" s="1"/>
  <c r="Y37" i="39"/>
  <c r="W37" i="39"/>
  <c r="X37" i="39" s="1"/>
  <c r="Y38" i="39" s="1"/>
  <c r="V37" i="39"/>
  <c r="C35" i="39"/>
  <c r="H36" i="39" s="1"/>
  <c r="U38" i="39"/>
  <c r="T38" i="39"/>
  <c r="Z37" i="39" l="1"/>
  <c r="AA37" i="39" s="1"/>
  <c r="S37" i="39" s="1"/>
  <c r="C37" i="39" s="1"/>
  <c r="W38" i="39"/>
  <c r="X38" i="39" s="1"/>
  <c r="Y39" i="39" s="1"/>
  <c r="V38" i="39"/>
  <c r="H37" i="39"/>
  <c r="L37" i="39" s="1"/>
  <c r="U39" i="39"/>
  <c r="T39" i="39"/>
  <c r="L36" i="39"/>
  <c r="K36" i="39"/>
  <c r="M36" i="39"/>
  <c r="Z38" i="39" l="1"/>
  <c r="AA38" i="39" s="1"/>
  <c r="W39" i="39"/>
  <c r="X39" i="39" s="1"/>
  <c r="Y40" i="39" s="1"/>
  <c r="V39" i="39"/>
  <c r="H38" i="39"/>
  <c r="M37" i="39"/>
  <c r="K37" i="39"/>
  <c r="U40" i="39"/>
  <c r="T40" i="39"/>
  <c r="Z39" i="39" l="1"/>
  <c r="AA39" i="39" s="1"/>
  <c r="S39" i="39" s="1"/>
  <c r="C39" i="39" s="1"/>
  <c r="W40" i="39"/>
  <c r="X40" i="39" s="1"/>
  <c r="Y41" i="39" s="1"/>
  <c r="V40" i="39"/>
  <c r="K38" i="39"/>
  <c r="M38" i="39"/>
  <c r="L38" i="39"/>
  <c r="S38" i="39"/>
  <c r="C38" i="39" s="1"/>
  <c r="U41" i="39"/>
  <c r="T41" i="39"/>
  <c r="Z40" i="39" l="1"/>
  <c r="AA40" i="39" s="1"/>
  <c r="S40" i="39" s="1"/>
  <c r="C40" i="39" s="1"/>
  <c r="W41" i="39"/>
  <c r="X41" i="39" s="1"/>
  <c r="Y42" i="39" s="1"/>
  <c r="V41" i="39"/>
  <c r="H39" i="39"/>
  <c r="H40" i="39"/>
  <c r="M40" i="39" s="1"/>
  <c r="U42" i="39"/>
  <c r="T42" i="39"/>
  <c r="Z41" i="39" l="1"/>
  <c r="AA41" i="39" s="1"/>
  <c r="S41" i="39" s="1"/>
  <c r="C41" i="39" s="1"/>
  <c r="H42" i="39" s="1"/>
  <c r="W42" i="39"/>
  <c r="X42" i="39" s="1"/>
  <c r="Y43" i="39" s="1"/>
  <c r="V42" i="39"/>
  <c r="K40" i="39"/>
  <c r="L40" i="39"/>
  <c r="K39" i="39"/>
  <c r="M39" i="39"/>
  <c r="L39" i="39"/>
  <c r="H41" i="39"/>
  <c r="K41" i="39" s="1"/>
  <c r="U43" i="39"/>
  <c r="T43" i="39"/>
  <c r="Z42" i="39" l="1"/>
  <c r="AA42" i="39" s="1"/>
  <c r="S42" i="39" s="1"/>
  <c r="C42" i="39" s="1"/>
  <c r="W43" i="39"/>
  <c r="X43" i="39" s="1"/>
  <c r="Y44" i="39" s="1"/>
  <c r="V43" i="39"/>
  <c r="L41" i="39"/>
  <c r="M41" i="39"/>
  <c r="M42" i="39"/>
  <c r="K42" i="39"/>
  <c r="L42" i="39"/>
  <c r="U44" i="39"/>
  <c r="T44" i="39"/>
  <c r="Z43" i="39" l="1"/>
  <c r="AA43" i="39" s="1"/>
  <c r="W44" i="39"/>
  <c r="X44" i="39" s="1"/>
  <c r="Z44" i="39" s="1"/>
  <c r="V44" i="39"/>
  <c r="H43" i="39"/>
  <c r="L43" i="39" s="1"/>
  <c r="U45" i="39"/>
  <c r="T45" i="39"/>
  <c r="Y45" i="39" l="1"/>
  <c r="W45" i="39"/>
  <c r="X45" i="39" s="1"/>
  <c r="V45" i="39"/>
  <c r="AA44" i="39"/>
  <c r="S44" i="39" s="1"/>
  <c r="C44" i="39" s="1"/>
  <c r="H45" i="39" s="1"/>
  <c r="S43" i="39"/>
  <c r="C43" i="39" s="1"/>
  <c r="K43" i="39"/>
  <c r="M43" i="39"/>
  <c r="U46" i="39"/>
  <c r="T46" i="39"/>
  <c r="Y46" i="39" l="1"/>
  <c r="Z45" i="39"/>
  <c r="W46" i="39"/>
  <c r="X46" i="39" s="1"/>
  <c r="V46" i="39"/>
  <c r="AA45" i="39"/>
  <c r="S45" i="39" s="1"/>
  <c r="H44" i="39"/>
  <c r="L45" i="39"/>
  <c r="M45" i="39"/>
  <c r="K45" i="39"/>
  <c r="U47" i="39"/>
  <c r="T47" i="39"/>
  <c r="Z46" i="39" l="1"/>
  <c r="Y47" i="39"/>
  <c r="W47" i="39"/>
  <c r="X47" i="39" s="1"/>
  <c r="V47" i="39"/>
  <c r="L44" i="39"/>
  <c r="M44" i="39"/>
  <c r="K44" i="39"/>
  <c r="C45" i="39"/>
  <c r="AA46" i="39"/>
  <c r="U48" i="39"/>
  <c r="T48" i="39"/>
  <c r="Y48" i="39" l="1"/>
  <c r="Z47" i="39"/>
  <c r="AA47" i="39" s="1"/>
  <c r="S47" i="39" s="1"/>
  <c r="C47" i="39" s="1"/>
  <c r="H48" i="39" s="1"/>
  <c r="W48" i="39"/>
  <c r="X48" i="39" s="1"/>
  <c r="V48" i="39"/>
  <c r="S46" i="39"/>
  <c r="C46" i="39" s="1"/>
  <c r="U49" i="39"/>
  <c r="T49" i="39"/>
  <c r="H46" i="39"/>
  <c r="Z48" i="39" l="1"/>
  <c r="AA48" i="39" s="1"/>
  <c r="S48" i="39" s="1"/>
  <c r="C48" i="39" s="1"/>
  <c r="Y49" i="39"/>
  <c r="W49" i="39"/>
  <c r="X49" i="39" s="1"/>
  <c r="V49" i="39"/>
  <c r="H47" i="39"/>
  <c r="U50" i="39"/>
  <c r="T50" i="39"/>
  <c r="L46" i="39"/>
  <c r="M46" i="39"/>
  <c r="K46" i="39"/>
  <c r="K48" i="39"/>
  <c r="M48" i="39"/>
  <c r="L48" i="39"/>
  <c r="Y50" i="39" l="1"/>
  <c r="Z49" i="39"/>
  <c r="AA49" i="39" s="1"/>
  <c r="S49" i="39" s="1"/>
  <c r="C49" i="39" s="1"/>
  <c r="H50" i="39" s="1"/>
  <c r="W50" i="39"/>
  <c r="X50" i="39" s="1"/>
  <c r="Z50" i="39" s="1"/>
  <c r="V50" i="39"/>
  <c r="H49" i="39"/>
  <c r="L49" i="39" s="1"/>
  <c r="M47" i="39"/>
  <c r="L47" i="39"/>
  <c r="K47" i="39"/>
  <c r="U51" i="39"/>
  <c r="T51" i="39"/>
  <c r="Y51" i="39" l="1"/>
  <c r="W51" i="39"/>
  <c r="X51" i="39" s="1"/>
  <c r="V51" i="39"/>
  <c r="M49" i="39"/>
  <c r="K49" i="39"/>
  <c r="AA50" i="39"/>
  <c r="S50" i="39" s="1"/>
  <c r="C50" i="39" s="1"/>
  <c r="U52" i="39"/>
  <c r="T52" i="39"/>
  <c r="L50" i="39"/>
  <c r="M50" i="39"/>
  <c r="K50" i="39"/>
  <c r="Z51" i="39" l="1"/>
  <c r="AA51" i="39" s="1"/>
  <c r="S51" i="39" s="1"/>
  <c r="C51" i="39" s="1"/>
  <c r="Y52" i="39"/>
  <c r="W52" i="39"/>
  <c r="X52" i="39" s="1"/>
  <c r="Z52" i="39" s="1"/>
  <c r="V52" i="39"/>
  <c r="H51" i="39"/>
  <c r="K51" i="39" s="1"/>
  <c r="U53" i="39"/>
  <c r="T53" i="39"/>
  <c r="Y53" i="39" l="1"/>
  <c r="W53" i="39"/>
  <c r="X53" i="39" s="1"/>
  <c r="V53" i="39"/>
  <c r="H52" i="39"/>
  <c r="M51" i="39"/>
  <c r="L51" i="39"/>
  <c r="AA52" i="39"/>
  <c r="S52" i="39" s="1"/>
  <c r="C52" i="39" s="1"/>
  <c r="H53" i="39" s="1"/>
  <c r="U54" i="39"/>
  <c r="T54" i="39"/>
  <c r="Z53" i="39" l="1"/>
  <c r="AA53" i="39" s="1"/>
  <c r="S53" i="39" s="1"/>
  <c r="C53" i="39" s="1"/>
  <c r="Y54" i="39"/>
  <c r="W54" i="39"/>
  <c r="X54" i="39" s="1"/>
  <c r="V54" i="39"/>
  <c r="M52" i="39"/>
  <c r="L52" i="39"/>
  <c r="K52" i="39"/>
  <c r="L53" i="39"/>
  <c r="M53" i="39"/>
  <c r="K53" i="39"/>
  <c r="U55" i="39"/>
  <c r="T55" i="39"/>
  <c r="Z54" i="39" l="1"/>
  <c r="AA54" i="39" s="1"/>
  <c r="S54" i="39" s="1"/>
  <c r="C54" i="39" s="1"/>
  <c r="Y55" i="39"/>
  <c r="W55" i="39"/>
  <c r="X55" i="39" s="1"/>
  <c r="Y56" i="39" s="1"/>
  <c r="V55" i="39"/>
  <c r="H54" i="39"/>
  <c r="U56" i="39"/>
  <c r="T56" i="39"/>
  <c r="Z55" i="39" l="1"/>
  <c r="AA55" i="39" s="1"/>
  <c r="S55" i="39" s="1"/>
  <c r="C55" i="39" s="1"/>
  <c r="W56" i="39"/>
  <c r="X56" i="39" s="1"/>
  <c r="Y57" i="39" s="1"/>
  <c r="V56" i="39"/>
  <c r="H55" i="39"/>
  <c r="K54" i="39"/>
  <c r="L54" i="39"/>
  <c r="M54" i="39"/>
  <c r="U57" i="39"/>
  <c r="T57" i="39"/>
  <c r="Z56" i="39" l="1"/>
  <c r="W57" i="39"/>
  <c r="X57" i="39" s="1"/>
  <c r="Y58" i="39" s="1"/>
  <c r="V57" i="39"/>
  <c r="AA56" i="39"/>
  <c r="S56" i="39" s="1"/>
  <c r="C56" i="39" s="1"/>
  <c r="K55" i="39"/>
  <c r="L55" i="39"/>
  <c r="H56" i="39"/>
  <c r="L56" i="39" s="1"/>
  <c r="M55" i="39"/>
  <c r="U58" i="39"/>
  <c r="T58" i="39"/>
  <c r="Z57" i="39" l="1"/>
  <c r="W58" i="39"/>
  <c r="X58" i="39" s="1"/>
  <c r="Z58" i="39" s="1"/>
  <c r="V58" i="39"/>
  <c r="K56" i="39"/>
  <c r="M56" i="39"/>
  <c r="H57" i="39"/>
  <c r="L57" i="39" s="1"/>
  <c r="U59" i="39"/>
  <c r="T59" i="39"/>
  <c r="AA57" i="39"/>
  <c r="S57" i="39" s="1"/>
  <c r="Y59" i="39" l="1"/>
  <c r="W59" i="39"/>
  <c r="X59" i="39" s="1"/>
  <c r="Z59" i="39" s="1"/>
  <c r="V59" i="39"/>
  <c r="M57" i="39"/>
  <c r="K57" i="39"/>
  <c r="C57" i="39"/>
  <c r="U60" i="39"/>
  <c r="T60" i="39"/>
  <c r="AA58" i="39"/>
  <c r="Y60" i="39" l="1"/>
  <c r="W60" i="39"/>
  <c r="X60" i="39" s="1"/>
  <c r="Z60" i="39" s="1"/>
  <c r="V60" i="39"/>
  <c r="AA59" i="39"/>
  <c r="S59" i="39" s="1"/>
  <c r="C59" i="39" s="1"/>
  <c r="S58" i="39"/>
  <c r="C58" i="39" s="1"/>
  <c r="U61" i="39"/>
  <c r="T61" i="39"/>
  <c r="H58" i="39"/>
  <c r="Y61" i="39" l="1"/>
  <c r="W61" i="39"/>
  <c r="X61" i="39" s="1"/>
  <c r="V61" i="39"/>
  <c r="H59" i="39"/>
  <c r="H60" i="39"/>
  <c r="M60" i="39" s="1"/>
  <c r="AA60" i="39"/>
  <c r="S60" i="39" s="1"/>
  <c r="C60" i="39" s="1"/>
  <c r="L58" i="39"/>
  <c r="M58" i="39"/>
  <c r="K58" i="39"/>
  <c r="U62" i="39"/>
  <c r="T62" i="39"/>
  <c r="Z61" i="39" l="1"/>
  <c r="Y62" i="39"/>
  <c r="W62" i="39"/>
  <c r="X62" i="39" s="1"/>
  <c r="Y63" i="39" s="1"/>
  <c r="V62" i="39"/>
  <c r="H61" i="39"/>
  <c r="M61" i="39" s="1"/>
  <c r="M59" i="39"/>
  <c r="L59" i="39"/>
  <c r="K59" i="39"/>
  <c r="K60" i="39"/>
  <c r="L60" i="39"/>
  <c r="AA61" i="39"/>
  <c r="S61" i="39" s="1"/>
  <c r="C61" i="39" s="1"/>
  <c r="H62" i="39" s="1"/>
  <c r="U63" i="39"/>
  <c r="T63" i="39"/>
  <c r="Z62" i="39" l="1"/>
  <c r="AA62" i="39" s="1"/>
  <c r="S62" i="39" s="1"/>
  <c r="C62" i="39" s="1"/>
  <c r="W63" i="39"/>
  <c r="X63" i="39" s="1"/>
  <c r="Y64" i="39" s="1"/>
  <c r="V63" i="39"/>
  <c r="L61" i="39"/>
  <c r="K61" i="39"/>
  <c r="U64" i="39"/>
  <c r="T64" i="39"/>
  <c r="M62" i="39"/>
  <c r="K62" i="39"/>
  <c r="L62" i="39"/>
  <c r="Z63" i="39" l="1"/>
  <c r="W64" i="39"/>
  <c r="X64" i="39" s="1"/>
  <c r="Y65" i="39" s="1"/>
  <c r="V64" i="39"/>
  <c r="H63" i="39"/>
  <c r="L63" i="39" s="1"/>
  <c r="AA63" i="39"/>
  <c r="S63" i="39" s="1"/>
  <c r="C63" i="39" s="1"/>
  <c r="U65" i="39"/>
  <c r="T65" i="39"/>
  <c r="Z64" i="39" l="1"/>
  <c r="W65" i="39"/>
  <c r="X65" i="39" s="1"/>
  <c r="Z65" i="39" s="1"/>
  <c r="V65" i="39"/>
  <c r="M63" i="39"/>
  <c r="H64" i="39"/>
  <c r="K64" i="39" s="1"/>
  <c r="K63" i="39"/>
  <c r="AA64" i="39"/>
  <c r="S64" i="39" s="1"/>
  <c r="C64" i="39" s="1"/>
  <c r="U66" i="39"/>
  <c r="T66" i="39"/>
  <c r="Y66" i="39" l="1"/>
  <c r="W66" i="39"/>
  <c r="X66" i="39" s="1"/>
  <c r="Y67" i="39" s="1"/>
  <c r="V66" i="39"/>
  <c r="L64" i="39"/>
  <c r="M64" i="39"/>
  <c r="H65" i="39"/>
  <c r="K65" i="39" s="1"/>
  <c r="AA65" i="39"/>
  <c r="S65" i="39" s="1"/>
  <c r="C65" i="39" s="1"/>
  <c r="U67" i="39"/>
  <c r="T67" i="39"/>
  <c r="Z66" i="39" l="1"/>
  <c r="W67" i="39"/>
  <c r="X67" i="39" s="1"/>
  <c r="Y68" i="39" s="1"/>
  <c r="V67" i="39"/>
  <c r="H66" i="39"/>
  <c r="L65" i="39"/>
  <c r="M65" i="39"/>
  <c r="S66" i="39"/>
  <c r="C66" i="39" s="1"/>
  <c r="U68" i="39"/>
  <c r="T68" i="39"/>
  <c r="AA66" i="39"/>
  <c r="Z67" i="39" l="1"/>
  <c r="W68" i="39"/>
  <c r="X68" i="39" s="1"/>
  <c r="Y69" i="39" s="1"/>
  <c r="V68" i="39"/>
  <c r="AA67" i="39"/>
  <c r="L66" i="39"/>
  <c r="K66" i="39"/>
  <c r="H67" i="39"/>
  <c r="L67" i="39" s="1"/>
  <c r="S67" i="39"/>
  <c r="C67" i="39" s="1"/>
  <c r="H68" i="39" s="1"/>
  <c r="M66" i="39"/>
  <c r="U69" i="39"/>
  <c r="T69" i="39"/>
  <c r="Z68" i="39" l="1"/>
  <c r="W69" i="39"/>
  <c r="X69" i="39" s="1"/>
  <c r="Z69" i="39" s="1"/>
  <c r="V69" i="39"/>
  <c r="M67" i="39"/>
  <c r="K67" i="39"/>
  <c r="L68" i="39"/>
  <c r="K68" i="39"/>
  <c r="M68" i="39"/>
  <c r="AA68" i="39"/>
  <c r="U70" i="39"/>
  <c r="T70" i="39"/>
  <c r="Y70" i="39" l="1"/>
  <c r="W70" i="39"/>
  <c r="X70" i="39" s="1"/>
  <c r="Y71" i="39" s="1"/>
  <c r="V70" i="39"/>
  <c r="AA69" i="39"/>
  <c r="S69" i="39" s="1"/>
  <c r="S68" i="39"/>
  <c r="C68" i="39" s="1"/>
  <c r="U71" i="39"/>
  <c r="T71" i="39"/>
  <c r="Z70" i="39" l="1"/>
  <c r="AA70" i="39" s="1"/>
  <c r="S70" i="39" s="1"/>
  <c r="C70" i="39" s="1"/>
  <c r="H71" i="39" s="1"/>
  <c r="W71" i="39"/>
  <c r="X71" i="39" s="1"/>
  <c r="Z71" i="39" s="1"/>
  <c r="V71" i="39"/>
  <c r="H69" i="39"/>
  <c r="C69" i="39"/>
  <c r="U72" i="39"/>
  <c r="T72" i="39"/>
  <c r="Y72" i="39" l="1"/>
  <c r="W72" i="39"/>
  <c r="X72" i="39" s="1"/>
  <c r="Y73" i="39" s="1"/>
  <c r="V72" i="39"/>
  <c r="M69" i="39"/>
  <c r="K69" i="39"/>
  <c r="L69" i="39"/>
  <c r="U73" i="39"/>
  <c r="T73" i="39"/>
  <c r="M71" i="39"/>
  <c r="K71" i="39"/>
  <c r="L71" i="39"/>
  <c r="AA71" i="39"/>
  <c r="S71" i="39" s="1"/>
  <c r="C71" i="39" s="1"/>
  <c r="H70" i="39"/>
  <c r="Z72" i="39" l="1"/>
  <c r="W73" i="39"/>
  <c r="X73" i="39" s="1"/>
  <c r="Y74" i="39" s="1"/>
  <c r="V73" i="39"/>
  <c r="H72" i="39"/>
  <c r="K72" i="39" s="1"/>
  <c r="AA72" i="39"/>
  <c r="S72" i="39" s="1"/>
  <c r="C72" i="39" s="1"/>
  <c r="M70" i="39"/>
  <c r="L70" i="39"/>
  <c r="K70" i="39"/>
  <c r="U74" i="39"/>
  <c r="T74" i="39"/>
  <c r="Z73" i="39" l="1"/>
  <c r="W74" i="39"/>
  <c r="X74" i="39" s="1"/>
  <c r="Y75" i="39" s="1"/>
  <c r="V74" i="39"/>
  <c r="H73" i="39"/>
  <c r="L73" i="39" s="1"/>
  <c r="M72" i="39"/>
  <c r="AA73" i="39"/>
  <c r="S73" i="39" s="1"/>
  <c r="C73" i="39" s="1"/>
  <c r="L72" i="39"/>
  <c r="U75" i="39"/>
  <c r="T75" i="39"/>
  <c r="W75" i="39" l="1"/>
  <c r="X75" i="39" s="1"/>
  <c r="Z75" i="39" s="1"/>
  <c r="V75" i="39"/>
  <c r="Z74" i="39"/>
  <c r="H74" i="39"/>
  <c r="K74" i="39" s="1"/>
  <c r="K73" i="39"/>
  <c r="M73" i="39"/>
  <c r="AA74" i="39"/>
  <c r="S74" i="39" s="1"/>
  <c r="C74" i="39" s="1"/>
  <c r="U76" i="39"/>
  <c r="T76" i="39"/>
  <c r="Y76" i="39" l="1"/>
  <c r="W76" i="39"/>
  <c r="X76" i="39" s="1"/>
  <c r="Y77" i="39" s="1"/>
  <c r="V76" i="39"/>
  <c r="M74" i="39"/>
  <c r="H75" i="39"/>
  <c r="K75" i="39" s="1"/>
  <c r="L74" i="39"/>
  <c r="U77" i="39"/>
  <c r="T77" i="39"/>
  <c r="AA75" i="39"/>
  <c r="Z76" i="39" l="1"/>
  <c r="W77" i="39"/>
  <c r="X77" i="39" s="1"/>
  <c r="Z77" i="39" s="1"/>
  <c r="V77" i="39"/>
  <c r="AA76" i="39"/>
  <c r="L75" i="39"/>
  <c r="S76" i="39"/>
  <c r="C76" i="39" s="1"/>
  <c r="S75" i="39"/>
  <c r="C75" i="39" s="1"/>
  <c r="M75" i="39"/>
  <c r="U78" i="39"/>
  <c r="T78" i="39"/>
  <c r="Y78" i="39" l="1"/>
  <c r="W78" i="39"/>
  <c r="X78" i="39" s="1"/>
  <c r="Y79" i="39" s="1"/>
  <c r="V78" i="39"/>
  <c r="H76" i="39"/>
  <c r="H77" i="39"/>
  <c r="M77" i="39" s="1"/>
  <c r="U79" i="39"/>
  <c r="T79" i="39"/>
  <c r="AA77" i="39"/>
  <c r="S77" i="39" s="1"/>
  <c r="Z78" i="39" l="1"/>
  <c r="W79" i="39"/>
  <c r="X79" i="39" s="1"/>
  <c r="Z79" i="39" s="1"/>
  <c r="V79" i="39"/>
  <c r="C77" i="39"/>
  <c r="L77" i="39"/>
  <c r="K76" i="39"/>
  <c r="L76" i="39"/>
  <c r="M76" i="39"/>
  <c r="K77" i="39"/>
  <c r="U80" i="39"/>
  <c r="T80" i="39"/>
  <c r="AA78" i="39"/>
  <c r="S78" i="39" s="1"/>
  <c r="C78" i="39" s="1"/>
  <c r="Y80" i="39" l="1"/>
  <c r="W80" i="39"/>
  <c r="X80" i="39" s="1"/>
  <c r="Y81" i="39" s="1"/>
  <c r="V80" i="39"/>
  <c r="H79" i="39"/>
  <c r="K79" i="39" s="1"/>
  <c r="H78" i="39"/>
  <c r="AA79" i="39"/>
  <c r="S79" i="39" s="1"/>
  <c r="C79" i="39" s="1"/>
  <c r="U81" i="39"/>
  <c r="T81" i="39"/>
  <c r="Z80" i="39" l="1"/>
  <c r="AA80" i="39" s="1"/>
  <c r="S80" i="39" s="1"/>
  <c r="C80" i="39" s="1"/>
  <c r="W81" i="39"/>
  <c r="X81" i="39" s="1"/>
  <c r="Z81" i="39" s="1"/>
  <c r="V81" i="39"/>
  <c r="H80" i="39"/>
  <c r="L78" i="39"/>
  <c r="M78" i="39"/>
  <c r="K78" i="39"/>
  <c r="L79" i="39"/>
  <c r="M79" i="39"/>
  <c r="U82" i="39"/>
  <c r="T82" i="39"/>
  <c r="Y82" i="39" l="1"/>
  <c r="W82" i="39"/>
  <c r="X82" i="39" s="1"/>
  <c r="Z82" i="39" s="1"/>
  <c r="V82" i="39"/>
  <c r="H81" i="39"/>
  <c r="M81" i="39" s="1"/>
  <c r="L80" i="39"/>
  <c r="M80" i="39"/>
  <c r="K80" i="39"/>
  <c r="AA81" i="39"/>
  <c r="S81" i="39" s="1"/>
  <c r="U83" i="39"/>
  <c r="T83" i="39"/>
  <c r="Y83" i="39" l="1"/>
  <c r="W83" i="39"/>
  <c r="X83" i="39" s="1"/>
  <c r="V83" i="39"/>
  <c r="K81" i="39"/>
  <c r="L81" i="39"/>
  <c r="C81" i="39"/>
  <c r="H82" i="39" s="1"/>
  <c r="K82" i="39" s="1"/>
  <c r="U84" i="39"/>
  <c r="T84" i="39"/>
  <c r="AA82" i="39"/>
  <c r="S82" i="39" s="1"/>
  <c r="C82" i="39" s="1"/>
  <c r="Y84" i="39" l="1"/>
  <c r="Z83" i="39"/>
  <c r="W84" i="39"/>
  <c r="X84" i="39" s="1"/>
  <c r="Z84" i="39" s="1"/>
  <c r="V84" i="39"/>
  <c r="H83" i="39"/>
  <c r="L83" i="39" s="1"/>
  <c r="M82" i="39"/>
  <c r="L82" i="39"/>
  <c r="AA83" i="39"/>
  <c r="S83" i="39" s="1"/>
  <c r="C83" i="39" s="1"/>
  <c r="H84" i="39" s="1"/>
  <c r="U85" i="39"/>
  <c r="T85" i="39"/>
  <c r="Y85" i="39" l="1"/>
  <c r="W85" i="39"/>
  <c r="X85" i="39" s="1"/>
  <c r="Y86" i="39" s="1"/>
  <c r="V85" i="39"/>
  <c r="K83" i="39"/>
  <c r="M83" i="39"/>
  <c r="AA84" i="39"/>
  <c r="S84" i="39" s="1"/>
  <c r="M84" i="39"/>
  <c r="K84" i="39"/>
  <c r="L84" i="39"/>
  <c r="U86" i="39"/>
  <c r="T86" i="39"/>
  <c r="Z85" i="39" l="1"/>
  <c r="W86" i="39"/>
  <c r="X86" i="39" s="1"/>
  <c r="Z86" i="39" s="1"/>
  <c r="V86" i="39"/>
  <c r="C84" i="39"/>
  <c r="U87" i="39"/>
  <c r="T87" i="39"/>
  <c r="AA85" i="39"/>
  <c r="S85" i="39" s="1"/>
  <c r="C85" i="39" s="1"/>
  <c r="Y87" i="39" l="1"/>
  <c r="W87" i="39"/>
  <c r="X87" i="39" s="1"/>
  <c r="Y88" i="39" s="1"/>
  <c r="V87" i="39"/>
  <c r="H86" i="39"/>
  <c r="M86" i="39" s="1"/>
  <c r="H85" i="39"/>
  <c r="U88" i="39"/>
  <c r="T88" i="39"/>
  <c r="AA86" i="39"/>
  <c r="S86" i="39" s="1"/>
  <c r="C86" i="39" s="1"/>
  <c r="W88" i="39" l="1"/>
  <c r="X88" i="39" s="1"/>
  <c r="Z88" i="39" s="1"/>
  <c r="V88" i="39"/>
  <c r="Z87" i="39"/>
  <c r="H87" i="39"/>
  <c r="K87" i="39" s="1"/>
  <c r="L86" i="39"/>
  <c r="M85" i="39"/>
  <c r="K85" i="39"/>
  <c r="L85" i="39"/>
  <c r="K86" i="39"/>
  <c r="U89" i="39"/>
  <c r="T89" i="39"/>
  <c r="AA87" i="39"/>
  <c r="S87" i="39" s="1"/>
  <c r="C87" i="39" s="1"/>
  <c r="Y89" i="39" l="1"/>
  <c r="W89" i="39"/>
  <c r="X89" i="39" s="1"/>
  <c r="Y90" i="39" s="1"/>
  <c r="V89" i="39"/>
  <c r="H88" i="39"/>
  <c r="M88" i="39" s="1"/>
  <c r="M87" i="39"/>
  <c r="L87" i="39"/>
  <c r="AA88" i="39"/>
  <c r="S88" i="39" s="1"/>
  <c r="C88" i="39" s="1"/>
  <c r="U90" i="39"/>
  <c r="T90" i="39"/>
  <c r="Z89" i="39" l="1"/>
  <c r="W90" i="39"/>
  <c r="X90" i="39" s="1"/>
  <c r="Z90" i="39" s="1"/>
  <c r="V90" i="39"/>
  <c r="H89" i="39"/>
  <c r="L89" i="39" s="1"/>
  <c r="L88" i="39"/>
  <c r="K88" i="39"/>
  <c r="AA89" i="39"/>
  <c r="S89" i="39" s="1"/>
  <c r="C89" i="39" s="1"/>
  <c r="H90" i="39" s="1"/>
  <c r="U91" i="39"/>
  <c r="T91" i="39"/>
  <c r="Y91" i="39" l="1"/>
  <c r="W91" i="39"/>
  <c r="X91" i="39" s="1"/>
  <c r="Z91" i="39" s="1"/>
  <c r="V91" i="39"/>
  <c r="K89" i="39"/>
  <c r="M89" i="39"/>
  <c r="AA90" i="39"/>
  <c r="S90" i="39" s="1"/>
  <c r="C90" i="39" s="1"/>
  <c r="U92" i="39"/>
  <c r="T92" i="39"/>
  <c r="K90" i="39"/>
  <c r="L90" i="39"/>
  <c r="M90" i="39"/>
  <c r="Y92" i="39" l="1"/>
  <c r="W92" i="39"/>
  <c r="X92" i="39" s="1"/>
  <c r="Z92" i="39" s="1"/>
  <c r="V92" i="39"/>
  <c r="AA91" i="39"/>
  <c r="H91" i="39"/>
  <c r="M91" i="39" s="1"/>
  <c r="U93" i="39"/>
  <c r="T93" i="39"/>
  <c r="Y93" i="39" l="1"/>
  <c r="W93" i="39"/>
  <c r="X93" i="39" s="1"/>
  <c r="Y94" i="39" s="1"/>
  <c r="V93" i="39"/>
  <c r="AA92" i="39"/>
  <c r="S92" i="39" s="1"/>
  <c r="C92" i="39" s="1"/>
  <c r="H93" i="39" s="1"/>
  <c r="L91" i="39"/>
  <c r="K91" i="39"/>
  <c r="S91" i="39"/>
  <c r="U94" i="39"/>
  <c r="T94" i="39"/>
  <c r="Z93" i="39" l="1"/>
  <c r="W94" i="39"/>
  <c r="X94" i="39" s="1"/>
  <c r="Z94" i="39" s="1"/>
  <c r="V94" i="39"/>
  <c r="AA93" i="39"/>
  <c r="S93" i="39" s="1"/>
  <c r="C91" i="39"/>
  <c r="K93" i="39"/>
  <c r="M93" i="39"/>
  <c r="L93" i="39"/>
  <c r="U95" i="39"/>
  <c r="T95" i="39"/>
  <c r="Y95" i="39" l="1"/>
  <c r="W95" i="39"/>
  <c r="X95" i="39" s="1"/>
  <c r="Z95" i="39" s="1"/>
  <c r="V95" i="39"/>
  <c r="H92" i="39"/>
  <c r="AA94" i="39"/>
  <c r="C93" i="39"/>
  <c r="U96" i="39"/>
  <c r="T96" i="39"/>
  <c r="Y96" i="39" l="1"/>
  <c r="W96" i="39"/>
  <c r="X96" i="39" s="1"/>
  <c r="Z96" i="39" s="1"/>
  <c r="V96" i="39"/>
  <c r="M92" i="39"/>
  <c r="K92" i="39"/>
  <c r="L92" i="39"/>
  <c r="AA95" i="39"/>
  <c r="S94" i="39"/>
  <c r="C94" i="39" s="1"/>
  <c r="H94" i="39"/>
  <c r="U97" i="39"/>
  <c r="T97" i="39"/>
  <c r="Y97" i="39" l="1"/>
  <c r="W97" i="39"/>
  <c r="X97" i="39" s="1"/>
  <c r="Y98" i="39" s="1"/>
  <c r="V97" i="39"/>
  <c r="AA96" i="39"/>
  <c r="S95" i="39"/>
  <c r="C95" i="39" s="1"/>
  <c r="H96" i="39" s="1"/>
  <c r="S96" i="39"/>
  <c r="C96" i="39" s="1"/>
  <c r="H95" i="39"/>
  <c r="L94" i="39"/>
  <c r="M94" i="39"/>
  <c r="K94" i="39"/>
  <c r="U98" i="39"/>
  <c r="T98" i="39"/>
  <c r="Z97" i="39" l="1"/>
  <c r="W98" i="39"/>
  <c r="X98" i="39" s="1"/>
  <c r="Y99" i="39" s="1"/>
  <c r="V98" i="39"/>
  <c r="AA97" i="39"/>
  <c r="S97" i="39" s="1"/>
  <c r="C97" i="39" s="1"/>
  <c r="M95" i="39"/>
  <c r="K95" i="39"/>
  <c r="L95" i="39"/>
  <c r="K96" i="39"/>
  <c r="M96" i="39"/>
  <c r="L96" i="39"/>
  <c r="H97" i="39"/>
  <c r="M97" i="39" s="1"/>
  <c r="U99" i="39"/>
  <c r="T99" i="39"/>
  <c r="Z98" i="39"/>
  <c r="W99" i="39" l="1"/>
  <c r="X99" i="39" s="1"/>
  <c r="Y100" i="39" s="1"/>
  <c r="V99" i="39"/>
  <c r="L97" i="39"/>
  <c r="K97" i="39"/>
  <c r="H98" i="39"/>
  <c r="K98" i="39" s="1"/>
  <c r="U100" i="39"/>
  <c r="T100" i="39"/>
  <c r="AA98" i="39"/>
  <c r="S98" i="39" s="1"/>
  <c r="C98" i="39" s="1"/>
  <c r="Z99" i="39" l="1"/>
  <c r="W100" i="39"/>
  <c r="X100" i="39" s="1"/>
  <c r="Z100" i="39" s="1"/>
  <c r="V100" i="39"/>
  <c r="H99" i="39"/>
  <c r="M99" i="39" s="1"/>
  <c r="M98" i="39"/>
  <c r="L98" i="39"/>
  <c r="U101" i="39"/>
  <c r="T101" i="39"/>
  <c r="AA99" i="39"/>
  <c r="Y101" i="39" l="1"/>
  <c r="W101" i="39"/>
  <c r="X101" i="39" s="1"/>
  <c r="Y102" i="39" s="1"/>
  <c r="V101" i="39"/>
  <c r="AA100" i="39"/>
  <c r="S100" i="39" s="1"/>
  <c r="C100" i="39" s="1"/>
  <c r="H101" i="39" s="1"/>
  <c r="S99" i="39"/>
  <c r="C99" i="39" s="1"/>
  <c r="L99" i="39"/>
  <c r="K99" i="39"/>
  <c r="U102" i="39"/>
  <c r="T102" i="39"/>
  <c r="Z101" i="39" l="1"/>
  <c r="W102" i="39"/>
  <c r="X102" i="39" s="1"/>
  <c r="Y103" i="39" s="1"/>
  <c r="V102" i="39"/>
  <c r="H100" i="39"/>
  <c r="AA101" i="39"/>
  <c r="S101" i="39" s="1"/>
  <c r="K101" i="39"/>
  <c r="M101" i="39"/>
  <c r="L101" i="39"/>
  <c r="U103" i="39"/>
  <c r="T103" i="39"/>
  <c r="Z102" i="39" l="1"/>
  <c r="W103" i="39"/>
  <c r="X103" i="39" s="1"/>
  <c r="Y104" i="39" s="1"/>
  <c r="V103" i="39"/>
  <c r="C101" i="39"/>
  <c r="L100" i="39"/>
  <c r="K100" i="39"/>
  <c r="M100" i="39"/>
  <c r="AA102" i="39"/>
  <c r="S102" i="39" s="1"/>
  <c r="C102" i="39" s="1"/>
  <c r="H103" i="39" s="1"/>
  <c r="U104" i="39"/>
  <c r="T104" i="39"/>
  <c r="W104" i="39" l="1"/>
  <c r="X104" i="39" s="1"/>
  <c r="Y105" i="39" s="1"/>
  <c r="V104" i="39"/>
  <c r="Z103" i="39"/>
  <c r="AA103" i="39" s="1"/>
  <c r="S103" i="39" s="1"/>
  <c r="C103" i="39" s="1"/>
  <c r="H102" i="39"/>
  <c r="U105" i="39"/>
  <c r="T105" i="39"/>
  <c r="K103" i="39"/>
  <c r="L103" i="39"/>
  <c r="M103" i="39"/>
  <c r="Z104" i="39" l="1"/>
  <c r="W105" i="39"/>
  <c r="X105" i="39" s="1"/>
  <c r="Z105" i="39" s="1"/>
  <c r="V105" i="39"/>
  <c r="H104" i="39"/>
  <c r="K102" i="39"/>
  <c r="M102" i="39"/>
  <c r="L102" i="39"/>
  <c r="AA104" i="39"/>
  <c r="S104" i="39" s="1"/>
  <c r="C104" i="39" s="1"/>
  <c r="U106" i="39"/>
  <c r="T106" i="39"/>
  <c r="Y106" i="39" l="1"/>
  <c r="W106" i="39"/>
  <c r="X106" i="39" s="1"/>
  <c r="Y107" i="39" s="1"/>
  <c r="V106" i="39"/>
  <c r="M104" i="39"/>
  <c r="K104" i="39"/>
  <c r="L104" i="39"/>
  <c r="H105" i="39"/>
  <c r="U107" i="39"/>
  <c r="T107" i="39"/>
  <c r="AA105" i="39"/>
  <c r="Z106" i="39" l="1"/>
  <c r="W107" i="39"/>
  <c r="X107" i="39" s="1"/>
  <c r="Z107" i="39" s="1"/>
  <c r="V107" i="39"/>
  <c r="M105" i="39"/>
  <c r="K105" i="39"/>
  <c r="L105" i="39"/>
  <c r="AA106" i="39"/>
  <c r="S106" i="39" s="1"/>
  <c r="C106" i="39" s="1"/>
  <c r="S105" i="39"/>
  <c r="U108" i="39"/>
  <c r="T108" i="39"/>
  <c r="W108" i="39" l="1"/>
  <c r="X108" i="39" s="1"/>
  <c r="V108" i="39"/>
  <c r="Y108" i="39"/>
  <c r="H107" i="39"/>
  <c r="U109" i="39"/>
  <c r="T109" i="39"/>
  <c r="C105" i="39"/>
  <c r="AA107" i="39"/>
  <c r="Z108" i="39" l="1"/>
  <c r="Y109" i="39"/>
  <c r="W109" i="39"/>
  <c r="X109" i="39" s="1"/>
  <c r="Z109" i="39" s="1"/>
  <c r="V109" i="39"/>
  <c r="L107" i="39"/>
  <c r="K107" i="39"/>
  <c r="M107" i="39"/>
  <c r="AA108" i="39"/>
  <c r="S108" i="39" s="1"/>
  <c r="C108" i="39" s="1"/>
  <c r="S107" i="39"/>
  <c r="C107" i="39" s="1"/>
  <c r="H106" i="39"/>
  <c r="U110" i="39"/>
  <c r="T110" i="39"/>
  <c r="Y110" i="39" l="1"/>
  <c r="W110" i="39"/>
  <c r="X110" i="39" s="1"/>
  <c r="Z110" i="39" s="1"/>
  <c r="V110" i="39"/>
  <c r="H108" i="39"/>
  <c r="H109" i="39"/>
  <c r="L109" i="39" s="1"/>
  <c r="U111" i="39"/>
  <c r="T111" i="39"/>
  <c r="AA109" i="39"/>
  <c r="L106" i="39"/>
  <c r="K106" i="39"/>
  <c r="M106" i="39"/>
  <c r="Y111" i="39" l="1"/>
  <c r="W111" i="39"/>
  <c r="X111" i="39" s="1"/>
  <c r="Y112" i="39" s="1"/>
  <c r="V111" i="39"/>
  <c r="AA110" i="39"/>
  <c r="S110" i="39" s="1"/>
  <c r="C110" i="39" s="1"/>
  <c r="H111" i="39" s="1"/>
  <c r="L108" i="39"/>
  <c r="K108" i="39"/>
  <c r="M108" i="39"/>
  <c r="K109" i="39"/>
  <c r="M109" i="39"/>
  <c r="S109" i="39"/>
  <c r="C109" i="39" s="1"/>
  <c r="U112" i="39"/>
  <c r="T112" i="39"/>
  <c r="Z111" i="39" l="1"/>
  <c r="W112" i="39"/>
  <c r="X112" i="39" s="1"/>
  <c r="Z112" i="39" s="1"/>
  <c r="V112" i="39"/>
  <c r="H110" i="39"/>
  <c r="AA111" i="39"/>
  <c r="S111" i="39" s="1"/>
  <c r="U113" i="39"/>
  <c r="T113" i="39"/>
  <c r="L111" i="39"/>
  <c r="K111" i="39"/>
  <c r="M111" i="39"/>
  <c r="Y113" i="39" l="1"/>
  <c r="W113" i="39"/>
  <c r="X113" i="39" s="1"/>
  <c r="Y114" i="39" s="1"/>
  <c r="V113" i="39"/>
  <c r="C111" i="39"/>
  <c r="K110" i="39"/>
  <c r="L110" i="39"/>
  <c r="M110" i="39"/>
  <c r="U114" i="39"/>
  <c r="T114" i="39"/>
  <c r="AA112" i="39"/>
  <c r="S112" i="39" s="1"/>
  <c r="C112" i="39" s="1"/>
  <c r="Z113" i="39" l="1"/>
  <c r="W114" i="39"/>
  <c r="X114" i="39" s="1"/>
  <c r="Y115" i="39" s="1"/>
  <c r="V114" i="39"/>
  <c r="H113" i="39"/>
  <c r="H112" i="39"/>
  <c r="AA113" i="39"/>
  <c r="S113" i="39" s="1"/>
  <c r="C113" i="39" s="1"/>
  <c r="H114" i="39" s="1"/>
  <c r="U115" i="39"/>
  <c r="T115" i="39"/>
  <c r="Z114" i="39" l="1"/>
  <c r="W115" i="39"/>
  <c r="X115" i="39" s="1"/>
  <c r="Y116" i="39" s="1"/>
  <c r="V115" i="39"/>
  <c r="K112" i="39"/>
  <c r="L112" i="39"/>
  <c r="M112" i="39"/>
  <c r="L113" i="39"/>
  <c r="K113" i="39"/>
  <c r="M113" i="39"/>
  <c r="U116" i="39"/>
  <c r="T116" i="39"/>
  <c r="K114" i="39"/>
  <c r="M114" i="39"/>
  <c r="L114" i="39"/>
  <c r="AA114" i="39"/>
  <c r="S114" i="39" s="1"/>
  <c r="C114" i="39" s="1"/>
  <c r="Z115" i="39"/>
  <c r="W116" i="39" l="1"/>
  <c r="X116" i="39" s="1"/>
  <c r="Y117" i="39" s="1"/>
  <c r="V116" i="39"/>
  <c r="H115" i="39"/>
  <c r="L115" i="39" s="1"/>
  <c r="U117" i="39"/>
  <c r="T117" i="39"/>
  <c r="AA115" i="39"/>
  <c r="S115" i="39" s="1"/>
  <c r="C115" i="39" s="1"/>
  <c r="Z116" i="39" l="1"/>
  <c r="W117" i="39"/>
  <c r="X117" i="39" s="1"/>
  <c r="Y118" i="39" s="1"/>
  <c r="V117" i="39"/>
  <c r="K115" i="39"/>
  <c r="M115" i="39"/>
  <c r="AA116" i="39"/>
  <c r="S116" i="39" s="1"/>
  <c r="H116" i="39"/>
  <c r="L116" i="39" s="1"/>
  <c r="U118" i="39"/>
  <c r="T118" i="39"/>
  <c r="Z117" i="39" l="1"/>
  <c r="W118" i="39"/>
  <c r="X118" i="39" s="1"/>
  <c r="Y119" i="39" s="1"/>
  <c r="V118" i="39"/>
  <c r="C116" i="39"/>
  <c r="K116" i="39"/>
  <c r="M116" i="39"/>
  <c r="U119" i="39"/>
  <c r="T119" i="39"/>
  <c r="AA117" i="39"/>
  <c r="Z118" i="39" l="1"/>
  <c r="W119" i="39"/>
  <c r="X119" i="39" s="1"/>
  <c r="Y120" i="39" s="1"/>
  <c r="V119" i="39"/>
  <c r="AA118" i="39"/>
  <c r="S118" i="39" s="1"/>
  <c r="C118" i="39" s="1"/>
  <c r="H119" i="39" s="1"/>
  <c r="H117" i="39"/>
  <c r="S117" i="39"/>
  <c r="U120" i="39"/>
  <c r="T120" i="39"/>
  <c r="Z119" i="39" l="1"/>
  <c r="W120" i="39"/>
  <c r="X120" i="39" s="1"/>
  <c r="Z120" i="39" s="1"/>
  <c r="V120" i="39"/>
  <c r="M117" i="39"/>
  <c r="K117" i="39"/>
  <c r="L117" i="39"/>
  <c r="U121" i="39"/>
  <c r="T121" i="39"/>
  <c r="C117" i="39"/>
  <c r="AA119" i="39"/>
  <c r="K119" i="39"/>
  <c r="L119" i="39"/>
  <c r="M119" i="39"/>
  <c r="Y121" i="39" l="1"/>
  <c r="W121" i="39"/>
  <c r="X121" i="39" s="1"/>
  <c r="Z121" i="39" s="1"/>
  <c r="V121" i="39"/>
  <c r="AA120" i="39"/>
  <c r="S120" i="39" s="1"/>
  <c r="C120" i="39" s="1"/>
  <c r="H121" i="39" s="1"/>
  <c r="S119" i="39"/>
  <c r="C119" i="39" s="1"/>
  <c r="H118" i="39"/>
  <c r="U122" i="39"/>
  <c r="T122" i="39"/>
  <c r="Y122" i="39" l="1"/>
  <c r="W122" i="39"/>
  <c r="X122" i="39" s="1"/>
  <c r="Z122" i="39" s="1"/>
  <c r="V122" i="39"/>
  <c r="H120" i="39"/>
  <c r="U123" i="39"/>
  <c r="T123" i="39"/>
  <c r="K121" i="39"/>
  <c r="M121" i="39"/>
  <c r="L121" i="39"/>
  <c r="AA121" i="39"/>
  <c r="S121" i="39" s="1"/>
  <c r="C121" i="39" s="1"/>
  <c r="H122" i="39" s="1"/>
  <c r="L118" i="39"/>
  <c r="M118" i="39"/>
  <c r="K118" i="39"/>
  <c r="Y123" i="39" l="1"/>
  <c r="W123" i="39"/>
  <c r="X123" i="39" s="1"/>
  <c r="Z123" i="39" s="1"/>
  <c r="V123" i="39"/>
  <c r="M120" i="39"/>
  <c r="K120" i="39"/>
  <c r="L120" i="39"/>
  <c r="U124" i="39"/>
  <c r="T124" i="39"/>
  <c r="AA122" i="39"/>
  <c r="S122" i="39" s="1"/>
  <c r="C122" i="39" s="1"/>
  <c r="M122" i="39"/>
  <c r="K122" i="39"/>
  <c r="L122" i="39"/>
  <c r="Y124" i="39" l="1"/>
  <c r="W124" i="39"/>
  <c r="X124" i="39" s="1"/>
  <c r="V124" i="39"/>
  <c r="H123" i="39"/>
  <c r="L123" i="39" s="1"/>
  <c r="U125" i="39"/>
  <c r="T125" i="39"/>
  <c r="AA123" i="39"/>
  <c r="S123" i="39" s="1"/>
  <c r="C123" i="39" s="1"/>
  <c r="H124" i="39" s="1"/>
  <c r="Z124" i="39" l="1"/>
  <c r="Y125" i="39"/>
  <c r="W125" i="39"/>
  <c r="X125" i="39" s="1"/>
  <c r="Z125" i="39" s="1"/>
  <c r="V125" i="39"/>
  <c r="M123" i="39"/>
  <c r="K123" i="39"/>
  <c r="AA124" i="39"/>
  <c r="S124" i="39" s="1"/>
  <c r="C124" i="39" s="1"/>
  <c r="K124" i="39"/>
  <c r="M124" i="39"/>
  <c r="L124" i="39"/>
  <c r="U126" i="39"/>
  <c r="T126" i="39"/>
  <c r="Y126" i="39" l="1"/>
  <c r="W126" i="39"/>
  <c r="X126" i="39" s="1"/>
  <c r="Y127" i="39" s="1"/>
  <c r="V126" i="39"/>
  <c r="AA125" i="39"/>
  <c r="H125" i="39"/>
  <c r="K125" i="39" s="1"/>
  <c r="S125" i="39"/>
  <c r="C125" i="39" s="1"/>
  <c r="U127" i="39"/>
  <c r="T127" i="39"/>
  <c r="Z126" i="39" l="1"/>
  <c r="W127" i="39"/>
  <c r="X127" i="39" s="1"/>
  <c r="Y128" i="39" s="1"/>
  <c r="V127" i="39"/>
  <c r="H126" i="39"/>
  <c r="M126" i="39" s="1"/>
  <c r="L125" i="39"/>
  <c r="M125" i="39"/>
  <c r="AA126" i="39"/>
  <c r="S126" i="39" s="1"/>
  <c r="C126" i="39" s="1"/>
  <c r="U128" i="39"/>
  <c r="T128" i="39"/>
  <c r="Z127" i="39" l="1"/>
  <c r="W128" i="39"/>
  <c r="X128" i="39" s="1"/>
  <c r="Z128" i="39" s="1"/>
  <c r="V128" i="39"/>
  <c r="K126" i="39"/>
  <c r="L126" i="39"/>
  <c r="H127" i="39"/>
  <c r="AA127" i="39"/>
  <c r="S127" i="39" s="1"/>
  <c r="C127" i="39" s="1"/>
  <c r="U129" i="39"/>
  <c r="T129" i="39"/>
  <c r="Y129" i="39" l="1"/>
  <c r="W129" i="39"/>
  <c r="X129" i="39" s="1"/>
  <c r="Y130" i="39" s="1"/>
  <c r="V129" i="39"/>
  <c r="K127" i="39"/>
  <c r="L127" i="39"/>
  <c r="M127" i="39"/>
  <c r="H128" i="39"/>
  <c r="M128" i="39" s="1"/>
  <c r="AA128" i="39"/>
  <c r="S128" i="39" s="1"/>
  <c r="C128" i="39" s="1"/>
  <c r="U130" i="39"/>
  <c r="T130" i="39"/>
  <c r="W130" i="39" l="1"/>
  <c r="X130" i="39" s="1"/>
  <c r="Z130" i="39" s="1"/>
  <c r="V130" i="39"/>
  <c r="Z129" i="39"/>
  <c r="H129" i="39"/>
  <c r="K129" i="39" s="1"/>
  <c r="K128" i="39"/>
  <c r="L128" i="39"/>
  <c r="AA129" i="39"/>
  <c r="U131" i="39"/>
  <c r="T131" i="39"/>
  <c r="Y131" i="39" l="1"/>
  <c r="W131" i="39"/>
  <c r="X131" i="39" s="1"/>
  <c r="Z131" i="39" s="1"/>
  <c r="V131" i="39"/>
  <c r="L129" i="39"/>
  <c r="M129" i="39"/>
  <c r="AA130" i="39"/>
  <c r="S130" i="39" s="1"/>
  <c r="C130" i="39" s="1"/>
  <c r="U132" i="39"/>
  <c r="T132" i="39"/>
  <c r="S129" i="39"/>
  <c r="Y132" i="39" l="1"/>
  <c r="W132" i="39"/>
  <c r="X132" i="39" s="1"/>
  <c r="Z132" i="39" s="1"/>
  <c r="V132" i="39"/>
  <c r="H131" i="39"/>
  <c r="M131" i="39" s="1"/>
  <c r="AA131" i="39"/>
  <c r="S131" i="39" s="1"/>
  <c r="C131" i="39" s="1"/>
  <c r="U133" i="39"/>
  <c r="T133" i="39"/>
  <c r="C129" i="39"/>
  <c r="Y133" i="39" l="1"/>
  <c r="W133" i="39"/>
  <c r="X133" i="39" s="1"/>
  <c r="Z133" i="39" s="1"/>
  <c r="V133" i="39"/>
  <c r="H132" i="39"/>
  <c r="K131" i="39"/>
  <c r="L131" i="39"/>
  <c r="U134" i="39"/>
  <c r="T134" i="39"/>
  <c r="H130" i="39"/>
  <c r="AA132" i="39"/>
  <c r="Y134" i="39" l="1"/>
  <c r="W134" i="39"/>
  <c r="X134" i="39" s="1"/>
  <c r="Y135" i="39" s="1"/>
  <c r="V134" i="39"/>
  <c r="AA133" i="39"/>
  <c r="S132" i="39"/>
  <c r="C132" i="39" s="1"/>
  <c r="H133" i="39" s="1"/>
  <c r="M133" i="39" s="1"/>
  <c r="K132" i="39"/>
  <c r="M132" i="39"/>
  <c r="S133" i="39"/>
  <c r="C133" i="39" s="1"/>
  <c r="L132" i="39"/>
  <c r="K130" i="39"/>
  <c r="M130" i="39"/>
  <c r="L130" i="39"/>
  <c r="U135" i="39"/>
  <c r="T135" i="39"/>
  <c r="Z134" i="39"/>
  <c r="W135" i="39" l="1"/>
  <c r="X135" i="39" s="1"/>
  <c r="Y136" i="39" s="1"/>
  <c r="V135" i="39"/>
  <c r="H134" i="39"/>
  <c r="L133" i="39"/>
  <c r="K133" i="39"/>
  <c r="AA134" i="39"/>
  <c r="S134" i="39" s="1"/>
  <c r="C134" i="39" s="1"/>
  <c r="U136" i="39"/>
  <c r="T136" i="39"/>
  <c r="Z135" i="39" l="1"/>
  <c r="AA135" i="39" s="1"/>
  <c r="S135" i="39" s="1"/>
  <c r="C135" i="39" s="1"/>
  <c r="H136" i="39" s="1"/>
  <c r="W136" i="39"/>
  <c r="X136" i="39" s="1"/>
  <c r="Z136" i="39" s="1"/>
  <c r="V136" i="39"/>
  <c r="L134" i="39"/>
  <c r="M134" i="39"/>
  <c r="H135" i="39"/>
  <c r="M135" i="39" s="1"/>
  <c r="K134" i="39"/>
  <c r="U137" i="39"/>
  <c r="T137" i="39"/>
  <c r="Y137" i="39" l="1"/>
  <c r="W137" i="39"/>
  <c r="X137" i="39" s="1"/>
  <c r="V137" i="39"/>
  <c r="L135" i="39"/>
  <c r="K135" i="39"/>
  <c r="AA136" i="39"/>
  <c r="S136" i="39" s="1"/>
  <c r="C136" i="39" s="1"/>
  <c r="U138" i="39"/>
  <c r="T138" i="39"/>
  <c r="L136" i="39"/>
  <c r="M136" i="39"/>
  <c r="K136" i="39"/>
  <c r="Z137" i="39" l="1"/>
  <c r="Y138" i="39"/>
  <c r="W138" i="39"/>
  <c r="X138" i="39" s="1"/>
  <c r="Y139" i="39" s="1"/>
  <c r="V138" i="39"/>
  <c r="H137" i="39"/>
  <c r="AA137" i="39"/>
  <c r="S137" i="39" s="1"/>
  <c r="C137" i="39" s="1"/>
  <c r="U139" i="39"/>
  <c r="T139" i="39"/>
  <c r="Z138" i="39" l="1"/>
  <c r="W139" i="39"/>
  <c r="X139" i="39" s="1"/>
  <c r="Y140" i="39" s="1"/>
  <c r="V139" i="39"/>
  <c r="H138" i="39"/>
  <c r="M138" i="39" s="1"/>
  <c r="M137" i="39"/>
  <c r="L137" i="39"/>
  <c r="K137" i="39"/>
  <c r="U140" i="39"/>
  <c r="T140" i="39"/>
  <c r="AA138" i="39"/>
  <c r="S138" i="39" s="1"/>
  <c r="C138" i="39" s="1"/>
  <c r="Z139" i="39" l="1"/>
  <c r="W140" i="39"/>
  <c r="X140" i="39" s="1"/>
  <c r="Y141" i="39" s="1"/>
  <c r="V140" i="39"/>
  <c r="H139" i="39"/>
  <c r="K138" i="39"/>
  <c r="L138" i="39"/>
  <c r="AA139" i="39"/>
  <c r="S139" i="39" s="1"/>
  <c r="C139" i="39" s="1"/>
  <c r="U141" i="39"/>
  <c r="T141" i="39"/>
  <c r="Z140" i="39" l="1"/>
  <c r="W141" i="39"/>
  <c r="X141" i="39" s="1"/>
  <c r="Y142" i="39" s="1"/>
  <c r="V141" i="39"/>
  <c r="H140" i="39"/>
  <c r="M140" i="39" s="1"/>
  <c r="AA140" i="39"/>
  <c r="S140" i="39" s="1"/>
  <c r="C140" i="39" s="1"/>
  <c r="L139" i="39"/>
  <c r="K139" i="39"/>
  <c r="M139" i="39"/>
  <c r="T142" i="39"/>
  <c r="U142" i="39"/>
  <c r="Z141" i="39" l="1"/>
  <c r="W142" i="39"/>
  <c r="X142" i="39" s="1"/>
  <c r="Z142" i="39" s="1"/>
  <c r="V142" i="39"/>
  <c r="AA141" i="39"/>
  <c r="S141" i="39" s="1"/>
  <c r="H141" i="39"/>
  <c r="M141" i="39" s="1"/>
  <c r="K140" i="39"/>
  <c r="L140" i="39"/>
  <c r="U143" i="39"/>
  <c r="T143" i="39"/>
  <c r="W143" i="39" l="1"/>
  <c r="X143" i="39" s="1"/>
  <c r="V143" i="39"/>
  <c r="Y143" i="39"/>
  <c r="L141" i="39"/>
  <c r="K141" i="39"/>
  <c r="AA142" i="39"/>
  <c r="C141" i="39"/>
  <c r="U144" i="39"/>
  <c r="T144" i="39"/>
  <c r="Z143" i="39" l="1"/>
  <c r="Y144" i="39"/>
  <c r="AA143" i="39"/>
  <c r="W144" i="39"/>
  <c r="X144" i="39" s="1"/>
  <c r="Y145" i="39" s="1"/>
  <c r="V144" i="39"/>
  <c r="S143" i="39"/>
  <c r="C143" i="39" s="1"/>
  <c r="S142" i="39"/>
  <c r="C142" i="39" s="1"/>
  <c r="U145" i="39"/>
  <c r="T145" i="39"/>
  <c r="H142" i="39"/>
  <c r="Z144" i="39" l="1"/>
  <c r="W145" i="39"/>
  <c r="X145" i="39" s="1"/>
  <c r="Y146" i="39" s="1"/>
  <c r="V145" i="39"/>
  <c r="H143" i="39"/>
  <c r="AA144" i="39"/>
  <c r="S144" i="39" s="1"/>
  <c r="C144" i="39" s="1"/>
  <c r="H144" i="39"/>
  <c r="L144" i="39" s="1"/>
  <c r="L142" i="39"/>
  <c r="M142" i="39"/>
  <c r="K142" i="39"/>
  <c r="U146" i="39"/>
  <c r="T146" i="39"/>
  <c r="Z145" i="39" l="1"/>
  <c r="W146" i="39"/>
  <c r="X146" i="39" s="1"/>
  <c r="Y147" i="39" s="1"/>
  <c r="V146" i="39"/>
  <c r="H145" i="39"/>
  <c r="M145" i="39" s="1"/>
  <c r="M144" i="39"/>
  <c r="M143" i="39"/>
  <c r="L143" i="39"/>
  <c r="K143" i="39"/>
  <c r="K144" i="39"/>
  <c r="AA145" i="39"/>
  <c r="S145" i="39" s="1"/>
  <c r="C145" i="39" s="1"/>
  <c r="U147" i="39"/>
  <c r="T147" i="39"/>
  <c r="Z146" i="39" l="1"/>
  <c r="W147" i="39"/>
  <c r="X147" i="39" s="1"/>
  <c r="Y148" i="39" s="1"/>
  <c r="V147" i="39"/>
  <c r="H146" i="39"/>
  <c r="L146" i="39" s="1"/>
  <c r="L145" i="39"/>
  <c r="K145" i="39"/>
  <c r="AA146" i="39"/>
  <c r="S146" i="39" s="1"/>
  <c r="C146" i="39" s="1"/>
  <c r="H147" i="39" s="1"/>
  <c r="U148" i="39"/>
  <c r="T148" i="39"/>
  <c r="Z147" i="39" l="1"/>
  <c r="W148" i="39"/>
  <c r="X148" i="39" s="1"/>
  <c r="Y149" i="39" s="1"/>
  <c r="V148" i="39"/>
  <c r="K146" i="39"/>
  <c r="M146" i="39"/>
  <c r="U149" i="39"/>
  <c r="T149" i="39"/>
  <c r="AA147" i="39"/>
  <c r="S147" i="39" s="1"/>
  <c r="C147" i="39" s="1"/>
  <c r="L147" i="39"/>
  <c r="K147" i="39"/>
  <c r="M147" i="39"/>
  <c r="Z148" i="39" l="1"/>
  <c r="W149" i="39"/>
  <c r="X149" i="39" s="1"/>
  <c r="Y150" i="39" s="1"/>
  <c r="V149" i="39"/>
  <c r="H148" i="39"/>
  <c r="L148" i="39" s="1"/>
  <c r="AA148" i="39"/>
  <c r="S148" i="39" s="1"/>
  <c r="C148" i="39" s="1"/>
  <c r="H149" i="39" s="1"/>
  <c r="T150" i="39"/>
  <c r="U150" i="39"/>
  <c r="Z149" i="39" l="1"/>
  <c r="W150" i="39"/>
  <c r="X150" i="39" s="1"/>
  <c r="Y151" i="39" s="1"/>
  <c r="V150" i="39"/>
  <c r="M148" i="39"/>
  <c r="K148" i="39"/>
  <c r="AA149" i="39"/>
  <c r="S149" i="39" s="1"/>
  <c r="C149" i="39" s="1"/>
  <c r="M149" i="39"/>
  <c r="K149" i="39"/>
  <c r="L149" i="39"/>
  <c r="U151" i="39"/>
  <c r="T151" i="39"/>
  <c r="Z150" i="39" l="1"/>
  <c r="AA150" i="39" s="1"/>
  <c r="S150" i="39" s="1"/>
  <c r="C150" i="39" s="1"/>
  <c r="W151" i="39"/>
  <c r="X151" i="39" s="1"/>
  <c r="Y152" i="39" s="1"/>
  <c r="V151" i="39"/>
  <c r="H150" i="39"/>
  <c r="M150" i="39" s="1"/>
  <c r="T152" i="39"/>
  <c r="U152" i="39"/>
  <c r="Z151" i="39" l="1"/>
  <c r="W152" i="39"/>
  <c r="X152" i="39" s="1"/>
  <c r="Y153" i="39" s="1"/>
  <c r="V152" i="39"/>
  <c r="H151" i="39"/>
  <c r="M151" i="39" s="1"/>
  <c r="L150" i="39"/>
  <c r="K150" i="39"/>
  <c r="AA151" i="39"/>
  <c r="S151" i="39" s="1"/>
  <c r="C151" i="39" s="1"/>
  <c r="U153" i="39"/>
  <c r="T153" i="39"/>
  <c r="Z152" i="39" l="1"/>
  <c r="W153" i="39"/>
  <c r="X153" i="39" s="1"/>
  <c r="Z153" i="39" s="1"/>
  <c r="V153" i="39"/>
  <c r="L151" i="39"/>
  <c r="H152" i="39"/>
  <c r="L152" i="39" s="1"/>
  <c r="K151" i="39"/>
  <c r="AA152" i="39"/>
  <c r="AA153" i="39" l="1"/>
  <c r="S153" i="39" s="1"/>
  <c r="S152" i="39"/>
  <c r="C152" i="39" s="1"/>
  <c r="M152" i="39"/>
  <c r="K152" i="39"/>
  <c r="H153" i="39" l="1"/>
  <c r="C153" i="39"/>
  <c r="K153" i="39" l="1"/>
  <c r="M153" i="39"/>
  <c r="L153" i="39"/>
  <c r="G114" i="18" l="1"/>
  <c r="L116" i="18"/>
  <c r="M117" i="18" l="1"/>
  <c r="L117" i="18" l="1"/>
  <c r="R11" i="39" l="1"/>
  <c r="P12" i="39" s="1"/>
  <c r="G115" i="18"/>
  <c r="M118" i="18"/>
  <c r="F115" i="18"/>
  <c r="L118" i="18" l="1"/>
  <c r="H116" i="18" l="1"/>
  <c r="F116" i="18"/>
  <c r="I116" i="18"/>
  <c r="G116" i="18"/>
  <c r="M119" i="18"/>
  <c r="H117" i="18" l="1"/>
  <c r="L119" i="18"/>
  <c r="F117" i="18" l="1"/>
  <c r="G117" i="18"/>
  <c r="M120" i="18"/>
  <c r="R12" i="39" l="1"/>
  <c r="L120" i="18"/>
  <c r="P13" i="39" l="1"/>
  <c r="G118" i="18"/>
  <c r="F118" i="18"/>
  <c r="H118" i="18"/>
  <c r="M121" i="18"/>
  <c r="R13" i="39" l="1"/>
  <c r="L121" i="18"/>
  <c r="P14" i="39" l="1"/>
  <c r="F119" i="18"/>
  <c r="G119" i="18"/>
  <c r="H119" i="18"/>
  <c r="M122" i="18"/>
  <c r="R14" i="39" l="1"/>
  <c r="L122" i="18"/>
  <c r="G120" i="18"/>
  <c r="F120" i="18"/>
  <c r="P15" i="39" l="1"/>
  <c r="R15" i="39" s="1"/>
  <c r="P16" i="39" s="1"/>
  <c r="H120" i="18"/>
  <c r="M123" i="18"/>
  <c r="L123" i="18" l="1"/>
  <c r="F121" i="18" l="1"/>
  <c r="G121" i="18"/>
  <c r="H121" i="18"/>
  <c r="M124" i="18"/>
  <c r="R16" i="39" l="1"/>
  <c r="L124" i="18"/>
  <c r="P17" i="39" l="1"/>
  <c r="H122" i="18"/>
  <c r="F122" i="18"/>
  <c r="G122" i="18"/>
  <c r="M125" i="18"/>
  <c r="R17" i="39" l="1"/>
  <c r="P18" i="39" s="1"/>
  <c r="L125" i="18"/>
  <c r="M126" i="18" l="1"/>
  <c r="R18" i="39" l="1"/>
  <c r="P19" i="39" s="1"/>
  <c r="R19" i="39" l="1"/>
  <c r="P20" i="39" l="1"/>
  <c r="R20" i="39" s="1"/>
  <c r="P21" i="39" s="1"/>
  <c r="R21" i="39" l="1"/>
  <c r="X5" i="39" l="1"/>
  <c r="P22" i="39"/>
  <c r="R22" i="39" l="1"/>
  <c r="P23" i="39" s="1"/>
  <c r="R23" i="39" l="1"/>
  <c r="P24" i="39" s="1"/>
  <c r="R24" i="39" l="1"/>
  <c r="P25" i="39" s="1"/>
  <c r="R25" i="39" l="1"/>
  <c r="P26" i="39" s="1"/>
  <c r="R26" i="39" l="1"/>
  <c r="P27" i="39" s="1"/>
  <c r="R27" i="39" l="1"/>
  <c r="P28" i="39" s="1"/>
  <c r="R28" i="39" l="1"/>
  <c r="P29" i="39" s="1"/>
  <c r="R29" i="39" l="1"/>
  <c r="P30" i="39" s="1"/>
  <c r="R30" i="39" l="1"/>
  <c r="P31" i="39" s="1"/>
  <c r="R31" i="39" l="1"/>
  <c r="P32" i="39" s="1"/>
  <c r="R32" i="39" l="1"/>
  <c r="P33" i="39" s="1"/>
  <c r="R33" i="39" l="1"/>
  <c r="P34" i="39" l="1"/>
  <c r="R34" i="39" s="1"/>
  <c r="P35" i="39" l="1"/>
  <c r="R35" i="39" s="1"/>
  <c r="P36" i="39" s="1"/>
  <c r="R36" i="39" s="1"/>
  <c r="P37" i="39" l="1"/>
  <c r="R37" i="39" s="1"/>
  <c r="P38" i="39" l="1"/>
  <c r="R38" i="39" s="1"/>
  <c r="P39" i="39" l="1"/>
  <c r="R39" i="39" s="1"/>
  <c r="P40" i="39" l="1"/>
  <c r="R40" i="39" s="1"/>
  <c r="P41" i="39" l="1"/>
  <c r="R41" i="39" s="1"/>
  <c r="P42" i="39" l="1"/>
  <c r="R42" i="39" s="1"/>
  <c r="P43" i="39" l="1"/>
  <c r="R43" i="39" s="1"/>
  <c r="P44" i="39" l="1"/>
  <c r="R44" i="39" s="1"/>
  <c r="P45" i="39" l="1"/>
  <c r="R45" i="39" s="1"/>
  <c r="P46" i="39" l="1"/>
  <c r="R46" i="39" s="1"/>
  <c r="P47" i="39" l="1"/>
  <c r="R47" i="39" s="1"/>
  <c r="P48" i="39" l="1"/>
  <c r="R48" i="39" s="1"/>
  <c r="P49" i="39" l="1"/>
  <c r="R49" i="39" s="1"/>
  <c r="P50" i="39" l="1"/>
  <c r="R50" i="39" s="1"/>
  <c r="P51" i="39" l="1"/>
  <c r="R51" i="39" s="1"/>
  <c r="P52" i="39" l="1"/>
  <c r="R52" i="39" s="1"/>
  <c r="P53" i="39" l="1"/>
  <c r="R53" i="39" s="1"/>
  <c r="P54" i="39" l="1"/>
  <c r="R54" i="39" s="1"/>
  <c r="P55" i="39" l="1"/>
  <c r="R55" i="39" s="1"/>
  <c r="P56" i="39" l="1"/>
  <c r="R56" i="39" s="1"/>
  <c r="P57" i="39" l="1"/>
  <c r="R57" i="39" s="1"/>
  <c r="P58" i="39" l="1"/>
  <c r="R58" i="39" s="1"/>
  <c r="P59" i="39" l="1"/>
  <c r="R59" i="39" s="1"/>
  <c r="P60" i="39" l="1"/>
  <c r="R60" i="39" s="1"/>
  <c r="P61" i="39" l="1"/>
  <c r="R61" i="39" s="1"/>
  <c r="P62" i="39" l="1"/>
  <c r="R62" i="39" s="1"/>
  <c r="P63" i="39" l="1"/>
  <c r="R63" i="39" s="1"/>
  <c r="P64" i="39" l="1"/>
  <c r="R64" i="39" s="1"/>
  <c r="P65" i="39" l="1"/>
  <c r="R65" i="39" s="1"/>
  <c r="P66" i="39" l="1"/>
  <c r="R66" i="39" s="1"/>
  <c r="P67" i="39" l="1"/>
  <c r="R67" i="39" s="1"/>
  <c r="P68" i="39" l="1"/>
  <c r="R68" i="39" s="1"/>
  <c r="P69" i="39" l="1"/>
  <c r="R69" i="39" s="1"/>
  <c r="P70" i="39" l="1"/>
  <c r="R70" i="39" s="1"/>
  <c r="P71" i="39" l="1"/>
  <c r="R71" i="39" s="1"/>
  <c r="P72" i="39" l="1"/>
  <c r="R72" i="39" s="1"/>
  <c r="P73" i="39" l="1"/>
  <c r="R73" i="39" s="1"/>
  <c r="P74" i="39" l="1"/>
  <c r="R74" i="39" s="1"/>
  <c r="P75" i="39" l="1"/>
  <c r="R75" i="39" s="1"/>
  <c r="P76" i="39" l="1"/>
  <c r="R76" i="39" s="1"/>
  <c r="P77" i="39" l="1"/>
  <c r="R77" i="39" s="1"/>
  <c r="P78" i="39" l="1"/>
  <c r="R78" i="39" s="1"/>
  <c r="P79" i="39" l="1"/>
  <c r="R79" i="39" s="1"/>
  <c r="P80" i="39" l="1"/>
  <c r="R80" i="39" s="1"/>
  <c r="P81" i="39" l="1"/>
  <c r="R81" i="39" s="1"/>
  <c r="P82" i="39" l="1"/>
  <c r="R82" i="39" s="1"/>
  <c r="P83" i="39" l="1"/>
  <c r="R83" i="39" s="1"/>
  <c r="P84" i="39" l="1"/>
  <c r="R84" i="39" s="1"/>
  <c r="P85" i="39" l="1"/>
  <c r="R85" i="39" s="1"/>
  <c r="P86" i="39" l="1"/>
  <c r="R86" i="39" s="1"/>
  <c r="P87" i="39" l="1"/>
  <c r="R87" i="39" s="1"/>
  <c r="P88" i="39" l="1"/>
  <c r="R88" i="39" s="1"/>
  <c r="P89" i="39" l="1"/>
  <c r="R89" i="39" s="1"/>
  <c r="P90" i="39" l="1"/>
  <c r="R90" i="39" s="1"/>
  <c r="P91" i="39" l="1"/>
  <c r="R91" i="39" s="1"/>
  <c r="P92" i="39" l="1"/>
  <c r="R92" i="39" s="1"/>
  <c r="P93" i="39" l="1"/>
  <c r="R93" i="39" s="1"/>
  <c r="P94" i="39" l="1"/>
  <c r="R94" i="39" s="1"/>
  <c r="P95" i="39" l="1"/>
  <c r="R95" i="39" s="1"/>
  <c r="P96" i="39" l="1"/>
  <c r="R96" i="39" s="1"/>
  <c r="P97" i="39" l="1"/>
  <c r="R97" i="39" s="1"/>
  <c r="P98" i="39" l="1"/>
  <c r="R98" i="39" s="1"/>
  <c r="P99" i="39" l="1"/>
  <c r="R99" i="39" s="1"/>
  <c r="P100" i="39" l="1"/>
  <c r="R100" i="39" s="1"/>
  <c r="P101" i="39" l="1"/>
  <c r="R101" i="39" s="1"/>
  <c r="P102" i="39" l="1"/>
  <c r="R102" i="39" s="1"/>
  <c r="P103" i="39" l="1"/>
  <c r="R103" i="39" s="1"/>
  <c r="P104" i="39" l="1"/>
  <c r="R104" i="39" s="1"/>
  <c r="P105" i="39" l="1"/>
  <c r="R105" i="39" s="1"/>
  <c r="P106" i="39" l="1"/>
  <c r="R106" i="39" s="1"/>
  <c r="P107" i="39" l="1"/>
  <c r="R107" i="39" s="1"/>
  <c r="P108" i="39" l="1"/>
  <c r="R108" i="39" s="1"/>
  <c r="P109" i="39" l="1"/>
  <c r="R109" i="39" s="1"/>
  <c r="P110" i="39" l="1"/>
  <c r="R110" i="39" s="1"/>
  <c r="P111" i="39" l="1"/>
  <c r="R111" i="39" s="1"/>
  <c r="P112" i="39" l="1"/>
  <c r="R112" i="39" s="1"/>
  <c r="P113" i="39" l="1"/>
  <c r="R113" i="39" s="1"/>
  <c r="P114" i="39" l="1"/>
  <c r="R114" i="39" s="1"/>
  <c r="P115" i="39" l="1"/>
  <c r="R115" i="39" s="1"/>
  <c r="P116" i="39" l="1"/>
  <c r="R116" i="39" s="1"/>
  <c r="P117" i="39" l="1"/>
  <c r="R117" i="39" s="1"/>
  <c r="P118" i="39" l="1"/>
  <c r="R118" i="39" s="1"/>
  <c r="P119" i="39" l="1"/>
  <c r="R119" i="39" s="1"/>
  <c r="P120" i="39" l="1"/>
  <c r="R120" i="39" s="1"/>
  <c r="P121" i="39" l="1"/>
  <c r="R121" i="39" s="1"/>
  <c r="P122" i="39" l="1"/>
  <c r="R122" i="39" s="1"/>
  <c r="P123" i="39" l="1"/>
  <c r="R123" i="39" s="1"/>
  <c r="P124" i="39" l="1"/>
  <c r="R124" i="39" s="1"/>
  <c r="P125" i="39" l="1"/>
  <c r="R125" i="39" s="1"/>
  <c r="P126" i="39" l="1"/>
  <c r="R126" i="39" s="1"/>
  <c r="P127" i="39" l="1"/>
  <c r="R127" i="39" s="1"/>
  <c r="P128" i="39" l="1"/>
  <c r="R128" i="39" s="1"/>
  <c r="P129" i="39" l="1"/>
  <c r="R129" i="39" s="1"/>
  <c r="P130" i="39" l="1"/>
  <c r="R130" i="39" s="1"/>
  <c r="P131" i="39" l="1"/>
  <c r="R131" i="39" s="1"/>
  <c r="P132" i="39" l="1"/>
  <c r="R132" i="39" s="1"/>
  <c r="P133" i="39" l="1"/>
  <c r="R133" i="39" s="1"/>
  <c r="P134" i="39" l="1"/>
  <c r="R134" i="39" s="1"/>
  <c r="P135" i="39" l="1"/>
  <c r="R135" i="39" s="1"/>
  <c r="P136" i="39" l="1"/>
  <c r="R136" i="39" s="1"/>
  <c r="P137" i="39" l="1"/>
  <c r="R137" i="39" s="1"/>
  <c r="P138" i="39" l="1"/>
  <c r="R138" i="39" s="1"/>
  <c r="P139" i="39" l="1"/>
  <c r="R139" i="39" s="1"/>
  <c r="P140" i="39" l="1"/>
  <c r="R140" i="39" s="1"/>
  <c r="P141" i="39" l="1"/>
  <c r="R141" i="39" s="1"/>
  <c r="P142" i="39" l="1"/>
  <c r="R142" i="39" s="1"/>
  <c r="P143" i="39" l="1"/>
  <c r="R143" i="39" s="1"/>
  <c r="P144" i="39" l="1"/>
  <c r="R144" i="39" s="1"/>
  <c r="P145" i="39" l="1"/>
  <c r="R145" i="39" s="1"/>
  <c r="P146" i="39" l="1"/>
  <c r="R146" i="39" s="1"/>
  <c r="P147" i="39" l="1"/>
  <c r="R147" i="39" s="1"/>
  <c r="P148" i="39" l="1"/>
  <c r="R148" i="39" s="1"/>
  <c r="P149" i="39" l="1"/>
  <c r="R149" i="39" s="1"/>
  <c r="P150" i="39" l="1"/>
  <c r="R150" i="39" s="1"/>
  <c r="P151" i="39" l="1"/>
  <c r="R151" i="39" s="1"/>
  <c r="P152" i="39" l="1"/>
  <c r="R152" i="39" s="1"/>
  <c r="P153" i="39" l="1"/>
  <c r="R153" i="39" s="1"/>
  <c r="P154" i="39" l="1"/>
  <c r="L126" i="18"/>
  <c r="G124" i="18"/>
  <c r="I124" i="18"/>
  <c r="H124" i="18"/>
  <c r="F124" i="18"/>
  <c r="I125" i="18" l="1"/>
  <c r="M127" i="18"/>
  <c r="F125" i="18"/>
  <c r="G125" i="18"/>
  <c r="H125" i="18"/>
  <c r="L127" i="18" l="1"/>
  <c r="M128" i="18" s="1"/>
  <c r="L129" i="18" l="1"/>
  <c r="F127" i="18" l="1"/>
  <c r="H127" i="18"/>
  <c r="I127" i="18"/>
  <c r="G127" i="18"/>
  <c r="L128" i="18"/>
  <c r="G126" i="18"/>
  <c r="I126" i="18"/>
  <c r="F126" i="18"/>
  <c r="H126" i="18"/>
  <c r="M130" i="18" l="1"/>
  <c r="M129" i="18"/>
  <c r="G128" i="18"/>
  <c r="I128" i="18"/>
  <c r="H128" i="18"/>
  <c r="F128" i="18"/>
  <c r="L130" i="18"/>
  <c r="M131" i="18" l="1"/>
  <c r="H129" i="18"/>
  <c r="I129" i="18"/>
  <c r="L131" i="18"/>
  <c r="F129" i="18"/>
  <c r="G129" i="18"/>
  <c r="M132" i="18" l="1"/>
  <c r="G130" i="18"/>
  <c r="L132" i="18"/>
  <c r="H130" i="18"/>
  <c r="F130" i="18"/>
  <c r="I130" i="18"/>
  <c r="M133" i="18" l="1"/>
  <c r="I131" i="18"/>
  <c r="G131" i="18"/>
  <c r="H131" i="18"/>
  <c r="F131" i="18"/>
  <c r="L133" i="18"/>
  <c r="M134" i="18" l="1"/>
  <c r="H132" i="18" l="1"/>
  <c r="I132" i="18"/>
  <c r="G132" i="18"/>
  <c r="L134" i="18"/>
  <c r="F132" i="18"/>
  <c r="M135" i="18" l="1"/>
  <c r="H133" i="18"/>
  <c r="I133" i="18"/>
  <c r="L135" i="18"/>
  <c r="G133" i="18"/>
  <c r="F133" i="18"/>
  <c r="M136" i="18" l="1"/>
  <c r="I134" i="18"/>
  <c r="G134" i="18"/>
  <c r="F134" i="18"/>
  <c r="H134" i="18"/>
  <c r="L136" i="18"/>
  <c r="M137" i="18" l="1"/>
  <c r="F135" i="18"/>
  <c r="H135" i="18"/>
  <c r="L137" i="18"/>
  <c r="I135" i="18"/>
  <c r="G135" i="18"/>
  <c r="M138" i="18" l="1"/>
  <c r="H136" i="18" l="1"/>
  <c r="L138" i="18"/>
  <c r="I136" i="18"/>
  <c r="F136" i="18"/>
  <c r="G136" i="18"/>
  <c r="M139" i="18" l="1"/>
  <c r="G137" i="18" l="1"/>
  <c r="F137" i="18"/>
  <c r="H137" i="18"/>
  <c r="I137" i="18"/>
  <c r="L139" i="18"/>
  <c r="L140" i="18" l="1"/>
  <c r="I138" i="18"/>
  <c r="F138" i="18"/>
  <c r="G138" i="18"/>
  <c r="H138" i="18"/>
  <c r="M140" i="18"/>
  <c r="I139" i="18" l="1"/>
  <c r="F139" i="18"/>
  <c r="H139" i="18"/>
  <c r="G139" i="18"/>
  <c r="L141" i="18"/>
  <c r="M141" i="18"/>
  <c r="M142" i="18" l="1"/>
  <c r="H140" i="18" l="1"/>
  <c r="L142" i="18"/>
  <c r="I140" i="18"/>
  <c r="F140" i="18"/>
  <c r="G140" i="18"/>
  <c r="M143" i="18" l="1"/>
  <c r="F141" i="18"/>
  <c r="G141" i="18"/>
  <c r="L143" i="18"/>
  <c r="G10" i="39" s="1"/>
  <c r="J10" i="39" s="1"/>
  <c r="N10" i="39" s="1"/>
  <c r="I141" i="18"/>
  <c r="H141" i="18"/>
  <c r="M144" i="18" l="1"/>
  <c r="G142" i="18"/>
  <c r="F142" i="18"/>
  <c r="H142" i="18"/>
  <c r="I142" i="18"/>
  <c r="L144" i="18"/>
  <c r="G11" i="39" s="1"/>
  <c r="J11" i="39" s="1"/>
  <c r="N11" i="39" s="1"/>
  <c r="O11" i="39" s="1"/>
  <c r="Q11" i="39" s="1"/>
  <c r="M145" i="18" l="1"/>
  <c r="I143" i="18"/>
  <c r="H143" i="18"/>
  <c r="L145" i="18"/>
  <c r="G12" i="39" s="1"/>
  <c r="J12" i="39" s="1"/>
  <c r="N12" i="39" s="1"/>
  <c r="O12" i="39" s="1"/>
  <c r="Q12" i="39" s="1"/>
  <c r="F143" i="18"/>
  <c r="G143" i="18"/>
  <c r="O13" i="39" l="1"/>
  <c r="Q13" i="39" s="1"/>
  <c r="L146" i="18"/>
  <c r="G13" i="39" s="1"/>
  <c r="J13" i="39" s="1"/>
  <c r="N13" i="39" s="1"/>
  <c r="H144" i="18"/>
  <c r="I144" i="18"/>
  <c r="G144" i="18"/>
  <c r="F144" i="18"/>
  <c r="M146" i="18"/>
  <c r="O14" i="39" l="1"/>
  <c r="Q14" i="39" s="1"/>
  <c r="F145" i="18"/>
  <c r="H145" i="18"/>
  <c r="G145" i="18"/>
  <c r="I145" i="18"/>
  <c r="L147" i="18"/>
  <c r="G14" i="39" s="1"/>
  <c r="J14" i="39" s="1"/>
  <c r="N14" i="39" s="1"/>
  <c r="M147" i="18"/>
  <c r="M148" i="18" l="1"/>
  <c r="L148" i="18" l="1"/>
  <c r="H146" i="18"/>
  <c r="F146" i="18"/>
  <c r="G146" i="18"/>
  <c r="I146" i="18"/>
  <c r="G15" i="39" l="1"/>
  <c r="J15" i="39" s="1"/>
  <c r="N15" i="39" s="1"/>
  <c r="O15" i="39" s="1"/>
  <c r="Q15" i="39" s="1"/>
  <c r="M149" i="18"/>
  <c r="I147" i="18" l="1"/>
  <c r="L149" i="18"/>
  <c r="H147" i="18"/>
  <c r="G147" i="18"/>
  <c r="F147" i="18"/>
  <c r="G16" i="39" l="1"/>
  <c r="J16" i="39" s="1"/>
  <c r="N16" i="39" s="1"/>
  <c r="O16" i="39" s="1"/>
  <c r="Q16" i="39" s="1"/>
  <c r="M150" i="18"/>
  <c r="I148" i="18"/>
  <c r="G148" i="18"/>
  <c r="F148" i="18"/>
  <c r="L150" i="18"/>
  <c r="G17" i="39" s="1"/>
  <c r="J17" i="39" s="1"/>
  <c r="H148" i="18"/>
  <c r="N17" i="39" l="1"/>
  <c r="O17" i="39" s="1"/>
  <c r="Q17" i="39" s="1"/>
  <c r="M151" i="18"/>
  <c r="L151" i="18"/>
  <c r="G18" i="39" s="1"/>
  <c r="J18" i="39" s="1"/>
  <c r="H149" i="18"/>
  <c r="G149" i="18"/>
  <c r="F149" i="18"/>
  <c r="I149" i="18"/>
  <c r="N18" i="39" l="1"/>
  <c r="O18" i="39" s="1"/>
  <c r="Q18" i="39" s="1"/>
  <c r="M152" i="18"/>
  <c r="I150" i="18" l="1"/>
  <c r="H150" i="18"/>
  <c r="G150" i="18"/>
  <c r="L152" i="18"/>
  <c r="F150" i="18"/>
  <c r="G19" i="39" l="1"/>
  <c r="J19" i="39" s="1"/>
  <c r="N19" i="39" s="1"/>
  <c r="O19" i="39" s="1"/>
  <c r="Q19" i="39" s="1"/>
  <c r="M153" i="18"/>
  <c r="H151" i="18" l="1"/>
  <c r="I151" i="18"/>
  <c r="G151" i="18"/>
  <c r="L153" i="18"/>
  <c r="F151" i="18"/>
  <c r="G20" i="39" l="1"/>
  <c r="J20" i="39" s="1"/>
  <c r="N20" i="39" s="1"/>
  <c r="O20" i="39" s="1"/>
  <c r="Q20" i="39" s="1"/>
  <c r="M154" i="18"/>
  <c r="I152" i="18" l="1"/>
  <c r="H152" i="18"/>
  <c r="F152" i="18"/>
  <c r="L154" i="18"/>
  <c r="G152" i="18"/>
  <c r="G21" i="39" l="1"/>
  <c r="J21" i="39" s="1"/>
  <c r="N21" i="39" s="1"/>
  <c r="O21" i="39" s="1"/>
  <c r="Q21" i="39" s="1"/>
  <c r="M155" i="18"/>
  <c r="G153" i="18" l="1"/>
  <c r="F153" i="18"/>
  <c r="I153" i="18"/>
  <c r="H153" i="18"/>
  <c r="L155" i="18"/>
  <c r="G22" i="39" l="1"/>
  <c r="J22" i="39" s="1"/>
  <c r="N22" i="39" s="1"/>
  <c r="O22" i="39" s="1"/>
  <c r="Q22" i="39" s="1"/>
  <c r="M156" i="18"/>
  <c r="H154" i="18" l="1"/>
  <c r="I154" i="18"/>
  <c r="G154" i="18"/>
  <c r="L156" i="18"/>
  <c r="F154" i="18"/>
  <c r="G23" i="39" l="1"/>
  <c r="J23" i="39" s="1"/>
  <c r="N23" i="39" s="1"/>
  <c r="O23" i="39" s="1"/>
  <c r="Q23" i="39" s="1"/>
  <c r="M157" i="18"/>
  <c r="G155" i="18"/>
  <c r="F155" i="18"/>
  <c r="H155" i="18"/>
  <c r="L157" i="18"/>
  <c r="G24" i="39" s="1"/>
  <c r="J24" i="39" s="1"/>
  <c r="N24" i="39" s="1"/>
  <c r="O24" i="39" s="1"/>
  <c r="Q24" i="39" s="1"/>
  <c r="I155" i="18"/>
  <c r="L158" i="18" l="1"/>
  <c r="H156" i="18"/>
  <c r="I156" i="18"/>
  <c r="G156" i="18"/>
  <c r="F156" i="18"/>
  <c r="M158" i="18"/>
  <c r="G25" i="39" l="1"/>
  <c r="J25" i="39" s="1"/>
  <c r="N25" i="39" s="1"/>
  <c r="O25" i="39" s="1"/>
  <c r="Q25" i="39" s="1"/>
  <c r="M159" i="18"/>
  <c r="L159" i="18" l="1"/>
  <c r="G157" i="18"/>
  <c r="F157" i="18"/>
  <c r="H157" i="18"/>
  <c r="I157" i="18"/>
  <c r="G26" i="39" l="1"/>
  <c r="J26" i="39" s="1"/>
  <c r="N26" i="39" s="1"/>
  <c r="O26" i="39" s="1"/>
  <c r="Q26" i="39" s="1"/>
  <c r="M160" i="18"/>
  <c r="H158" i="18" l="1"/>
  <c r="I158" i="18"/>
  <c r="G158" i="18"/>
  <c r="L160" i="18"/>
  <c r="F158" i="18"/>
  <c r="G27" i="39" l="1"/>
  <c r="J27" i="39" s="1"/>
  <c r="N27" i="39" s="1"/>
  <c r="O27" i="39" s="1"/>
  <c r="Q27" i="39" s="1"/>
  <c r="M161" i="18"/>
  <c r="H159" i="18" l="1"/>
  <c r="I159" i="18"/>
  <c r="F159" i="18"/>
  <c r="G159" i="18"/>
  <c r="L161" i="18"/>
  <c r="G28" i="39" l="1"/>
  <c r="J28" i="39" s="1"/>
  <c r="N28" i="39" s="1"/>
  <c r="O28" i="39" s="1"/>
  <c r="Q28" i="39" s="1"/>
  <c r="M162" i="18"/>
  <c r="H160" i="18"/>
  <c r="I160" i="18"/>
  <c r="G160" i="18"/>
  <c r="F160" i="18"/>
  <c r="L162" i="18"/>
  <c r="G29" i="39" s="1"/>
  <c r="J29" i="39" s="1"/>
  <c r="N29" i="39" s="1"/>
  <c r="O29" i="39" s="1"/>
  <c r="Q29" i="39" s="1"/>
  <c r="G161" i="18" l="1"/>
  <c r="F161" i="18"/>
  <c r="H161" i="18"/>
  <c r="I161" i="18"/>
  <c r="L163" i="18"/>
  <c r="G30" i="39" s="1"/>
  <c r="J30" i="39" s="1"/>
  <c r="N30" i="39" s="1"/>
  <c r="O30" i="39" s="1"/>
  <c r="Q30" i="39" s="1"/>
  <c r="M163" i="18"/>
  <c r="M164" i="18" l="1"/>
  <c r="F162" i="18"/>
  <c r="G162" i="18"/>
  <c r="H162" i="18"/>
  <c r="I162" i="18"/>
  <c r="L164" i="18"/>
  <c r="G31" i="39" s="1"/>
  <c r="J31" i="39" s="1"/>
  <c r="N31" i="39" s="1"/>
  <c r="O31" i="39" s="1"/>
  <c r="Q31" i="39" s="1"/>
  <c r="G163" i="18" l="1"/>
  <c r="F163" i="18"/>
  <c r="H163" i="18"/>
  <c r="L165" i="18"/>
  <c r="G32" i="39" s="1"/>
  <c r="J32" i="39" s="1"/>
  <c r="N32" i="39" s="1"/>
  <c r="O32" i="39" s="1"/>
  <c r="Q32" i="39" s="1"/>
  <c r="I163" i="18"/>
  <c r="M165" i="18"/>
  <c r="M166" i="18" l="1"/>
  <c r="L166" i="18"/>
  <c r="G33" i="39" s="1"/>
  <c r="J33" i="39" s="1"/>
  <c r="N33" i="39" s="1"/>
  <c r="O33" i="39" s="1"/>
  <c r="Q33" i="39" s="1"/>
  <c r="G164" i="18"/>
  <c r="F164" i="18"/>
  <c r="H164" i="18"/>
  <c r="I164" i="18"/>
  <c r="H165" i="18" l="1"/>
  <c r="I165" i="18"/>
  <c r="L167" i="18"/>
  <c r="F165" i="18"/>
  <c r="G165" i="18"/>
  <c r="M167" i="18"/>
  <c r="G34" i="39" l="1"/>
  <c r="J34" i="39" s="1"/>
  <c r="N34" i="39" s="1"/>
  <c r="O34" i="39" s="1"/>
  <c r="Q34" i="39" s="1"/>
  <c r="M168" i="18"/>
  <c r="F166" i="18" l="1"/>
  <c r="G166" i="18"/>
  <c r="H166" i="18"/>
  <c r="L168" i="18"/>
  <c r="I166" i="18"/>
  <c r="G35" i="39" l="1"/>
  <c r="J35" i="39" s="1"/>
  <c r="N35" i="39" s="1"/>
  <c r="O35" i="39" s="1"/>
  <c r="Q35" i="39" s="1"/>
  <c r="M169" i="18"/>
  <c r="H167" i="18" l="1"/>
  <c r="I167" i="18"/>
  <c r="G167" i="18"/>
  <c r="L169" i="18"/>
  <c r="F167" i="18"/>
  <c r="G36" i="39" l="1"/>
  <c r="J36" i="39" s="1"/>
  <c r="N36" i="39" s="1"/>
  <c r="O36" i="39" s="1"/>
  <c r="Q36" i="39" s="1"/>
  <c r="M170" i="18"/>
  <c r="G168" i="18"/>
  <c r="F168" i="18"/>
  <c r="H168" i="18"/>
  <c r="L170" i="18"/>
  <c r="G37" i="39" s="1"/>
  <c r="J37" i="39" s="1"/>
  <c r="N37" i="39" s="1"/>
  <c r="O37" i="39" s="1"/>
  <c r="Q37" i="39" s="1"/>
  <c r="I168" i="18"/>
  <c r="M171" i="18" l="1"/>
  <c r="G169" i="18"/>
  <c r="F169" i="18"/>
  <c r="H169" i="18"/>
  <c r="I169" i="18"/>
  <c r="L171" i="18"/>
  <c r="G38" i="39" s="1"/>
  <c r="J38" i="39" s="1"/>
  <c r="N38" i="39" s="1"/>
  <c r="O38" i="39" s="1"/>
  <c r="Q38" i="39" s="1"/>
  <c r="M172" i="18" l="1"/>
  <c r="F170" i="18"/>
  <c r="G170" i="18"/>
  <c r="I170" i="18"/>
  <c r="H170" i="18"/>
  <c r="L172" i="18"/>
  <c r="G39" i="39" s="1"/>
  <c r="J39" i="39" s="1"/>
  <c r="N39" i="39" s="1"/>
  <c r="O39" i="39" s="1"/>
  <c r="Q39" i="39" s="1"/>
  <c r="G171" i="18" l="1"/>
  <c r="I171" i="18"/>
  <c r="L173" i="18"/>
  <c r="G40" i="39" s="1"/>
  <c r="J40" i="39" s="1"/>
  <c r="N40" i="39" s="1"/>
  <c r="O40" i="39" s="1"/>
  <c r="Q40" i="39" s="1"/>
  <c r="H171" i="18"/>
  <c r="F171" i="18"/>
  <c r="M173" i="18"/>
  <c r="M174" i="18" l="1"/>
  <c r="F172" i="18" l="1"/>
  <c r="L174" i="18"/>
  <c r="H172" i="18"/>
  <c r="G172" i="18"/>
  <c r="I172" i="18"/>
  <c r="G41" i="39" l="1"/>
  <c r="J41" i="39" s="1"/>
  <c r="N41" i="39" s="1"/>
  <c r="O41" i="39" s="1"/>
  <c r="Q41" i="39" s="1"/>
  <c r="M175" i="18"/>
  <c r="F173" i="18" l="1"/>
  <c r="H173" i="18"/>
  <c r="I173" i="18"/>
  <c r="G173" i="18"/>
  <c r="L175" i="18"/>
  <c r="G42" i="39" l="1"/>
  <c r="J42" i="39" s="1"/>
  <c r="N42" i="39" s="1"/>
  <c r="O42" i="39" s="1"/>
  <c r="Q42" i="39" s="1"/>
  <c r="G174" i="18"/>
  <c r="F174" i="18"/>
  <c r="I174" i="18"/>
  <c r="L176" i="18"/>
  <c r="H174" i="18"/>
  <c r="M176" i="18"/>
  <c r="G43" i="39" l="1"/>
  <c r="J43" i="39" s="1"/>
  <c r="N43" i="39" s="1"/>
  <c r="O43" i="39" s="1"/>
  <c r="Q43" i="39" s="1"/>
  <c r="M177" i="18"/>
  <c r="I175" i="18" l="1"/>
  <c r="H175" i="18"/>
  <c r="G175" i="18"/>
  <c r="L177" i="18"/>
  <c r="F175" i="18"/>
  <c r="G44" i="39" l="1"/>
  <c r="J44" i="39" s="1"/>
  <c r="N44" i="39" s="1"/>
  <c r="O44" i="39" s="1"/>
  <c r="Q44" i="39" s="1"/>
  <c r="M178" i="18"/>
  <c r="H176" i="18"/>
  <c r="G176" i="18"/>
  <c r="F176" i="18"/>
  <c r="L178" i="18"/>
  <c r="G45" i="39" s="1"/>
  <c r="J45" i="39" s="1"/>
  <c r="N45" i="39" s="1"/>
  <c r="O45" i="39" s="1"/>
  <c r="Q45" i="39" s="1"/>
  <c r="I176" i="18"/>
  <c r="M179" i="18" l="1"/>
  <c r="I177" i="18"/>
  <c r="G177" i="18"/>
  <c r="F177" i="18"/>
  <c r="H177" i="18"/>
  <c r="L179" i="18"/>
  <c r="G46" i="39" s="1"/>
  <c r="J46" i="39" s="1"/>
  <c r="N46" i="39" s="1"/>
  <c r="O46" i="39" s="1"/>
  <c r="Q46" i="39" s="1"/>
  <c r="M180" i="18" l="1"/>
  <c r="H178" i="18" l="1"/>
  <c r="F178" i="18"/>
  <c r="L180" i="18"/>
  <c r="I178" i="18"/>
  <c r="G178" i="18"/>
  <c r="G47" i="39" l="1"/>
  <c r="J47" i="39" s="1"/>
  <c r="N47" i="39" s="1"/>
  <c r="O47" i="39" s="1"/>
  <c r="Q47" i="39" s="1"/>
  <c r="M181" i="18"/>
  <c r="L181" i="18"/>
  <c r="H179" i="18"/>
  <c r="F179" i="18"/>
  <c r="G179" i="18"/>
  <c r="I179" i="18"/>
  <c r="G48" i="39" l="1"/>
  <c r="J48" i="39" s="1"/>
  <c r="N48" i="39" s="1"/>
  <c r="O48" i="39" s="1"/>
  <c r="Q48" i="39" s="1"/>
  <c r="M182" i="18"/>
  <c r="I180" i="18"/>
  <c r="L182" i="18"/>
  <c r="G49" i="39" s="1"/>
  <c r="J49" i="39" s="1"/>
  <c r="N49" i="39" s="1"/>
  <c r="O49" i="39" s="1"/>
  <c r="Q49" i="39" s="1"/>
  <c r="F180" i="18"/>
  <c r="G180" i="18"/>
  <c r="H180" i="18"/>
  <c r="M183" i="18" l="1"/>
  <c r="H181" i="18"/>
  <c r="I181" i="18"/>
  <c r="F181" i="18"/>
  <c r="G181" i="18"/>
  <c r="L183" i="18"/>
  <c r="G50" i="39" l="1"/>
  <c r="J50" i="39" s="1"/>
  <c r="N50" i="39" s="1"/>
  <c r="O50" i="39" s="1"/>
  <c r="Q50" i="39" s="1"/>
  <c r="F182" i="18"/>
  <c r="G182" i="18"/>
  <c r="H182" i="18"/>
  <c r="I182" i="18"/>
  <c r="L184" i="18"/>
  <c r="G51" i="39" s="1"/>
  <c r="J51" i="39" s="1"/>
  <c r="N51" i="39" s="1"/>
  <c r="O51" i="39" s="1"/>
  <c r="Q51" i="39" s="1"/>
  <c r="M184" i="18"/>
  <c r="M185" i="18" l="1"/>
  <c r="H183" i="18" l="1"/>
  <c r="I183" i="18"/>
  <c r="G183" i="18"/>
  <c r="F183" i="18"/>
  <c r="L185" i="18"/>
  <c r="G52" i="39" l="1"/>
  <c r="J52" i="39" s="1"/>
  <c r="N52" i="39" s="1"/>
  <c r="O52" i="39" s="1"/>
  <c r="Q52" i="39" s="1"/>
  <c r="M186" i="18"/>
  <c r="H184" i="18"/>
  <c r="F184" i="18"/>
  <c r="I184" i="18"/>
  <c r="L186" i="18"/>
  <c r="G53" i="39" s="1"/>
  <c r="J53" i="39" s="1"/>
  <c r="N53" i="39" s="1"/>
  <c r="O53" i="39" s="1"/>
  <c r="Q53" i="39" s="1"/>
  <c r="G184" i="18"/>
  <c r="M187" i="18" l="1"/>
  <c r="I185" i="18"/>
  <c r="G185" i="18"/>
  <c r="L187" i="18"/>
  <c r="G54" i="39" s="1"/>
  <c r="J54" i="39" s="1"/>
  <c r="N54" i="39" s="1"/>
  <c r="O54" i="39" s="1"/>
  <c r="Q54" i="39" s="1"/>
  <c r="F185" i="18"/>
  <c r="H185" i="18"/>
  <c r="G186" i="18" l="1"/>
  <c r="H186" i="18"/>
  <c r="L188" i="18"/>
  <c r="G55" i="39" s="1"/>
  <c r="J55" i="39" s="1"/>
  <c r="N55" i="39" s="1"/>
  <c r="O55" i="39" s="1"/>
  <c r="Q55" i="39" s="1"/>
  <c r="I186" i="18"/>
  <c r="F186" i="18"/>
  <c r="M188" i="18"/>
  <c r="M189" i="18" l="1"/>
  <c r="H187" i="18"/>
  <c r="F187" i="18"/>
  <c r="I187" i="18"/>
  <c r="L189" i="18"/>
  <c r="G56" i="39" s="1"/>
  <c r="J56" i="39" s="1"/>
  <c r="N56" i="39" s="1"/>
  <c r="O56" i="39" s="1"/>
  <c r="Q56" i="39" s="1"/>
  <c r="G187" i="18"/>
  <c r="M190" i="18" l="1"/>
  <c r="F188" i="18"/>
  <c r="L190" i="18"/>
  <c r="G57" i="39" s="1"/>
  <c r="J57" i="39" s="1"/>
  <c r="N57" i="39" s="1"/>
  <c r="O57" i="39" s="1"/>
  <c r="Q57" i="39" s="1"/>
  <c r="G188" i="18"/>
  <c r="H188" i="18"/>
  <c r="I188" i="18"/>
  <c r="M191" i="18" l="1"/>
  <c r="I189" i="18"/>
  <c r="F189" i="18"/>
  <c r="G189" i="18"/>
  <c r="H189" i="18"/>
  <c r="L191" i="18"/>
  <c r="G58" i="39" s="1"/>
  <c r="J58" i="39" s="1"/>
  <c r="N58" i="39" s="1"/>
  <c r="O58" i="39" s="1"/>
  <c r="Q58" i="39" s="1"/>
  <c r="F190" i="18" l="1"/>
  <c r="H190" i="18"/>
  <c r="I190" i="18"/>
  <c r="G190" i="18"/>
  <c r="L192" i="18"/>
  <c r="G59" i="39" s="1"/>
  <c r="J59" i="39" s="1"/>
  <c r="N59" i="39" s="1"/>
  <c r="O59" i="39" s="1"/>
  <c r="Q59" i="39" s="1"/>
  <c r="M192" i="18"/>
  <c r="M193" i="18" l="1"/>
  <c r="H191" i="18" l="1"/>
  <c r="F191" i="18"/>
  <c r="G191" i="18"/>
  <c r="I191" i="18"/>
  <c r="L193" i="18"/>
  <c r="G60" i="39" l="1"/>
  <c r="J60" i="39" s="1"/>
  <c r="N60" i="39" s="1"/>
  <c r="O60" i="39" s="1"/>
  <c r="Q60" i="39" s="1"/>
  <c r="M194" i="18"/>
  <c r="F192" i="18" l="1"/>
  <c r="G192" i="18"/>
  <c r="I192" i="18"/>
  <c r="H192" i="18"/>
  <c r="L194" i="18"/>
  <c r="G61" i="39" l="1"/>
  <c r="J61" i="39" s="1"/>
  <c r="N61" i="39" s="1"/>
  <c r="O61" i="39" s="1"/>
  <c r="Q61" i="39" s="1"/>
  <c r="M195" i="18"/>
  <c r="L195" i="18" l="1"/>
  <c r="F193" i="18"/>
  <c r="I193" i="18"/>
  <c r="H193" i="18"/>
  <c r="G193" i="18"/>
  <c r="G62" i="39" l="1"/>
  <c r="J62" i="39" s="1"/>
  <c r="N62" i="39" s="1"/>
  <c r="O62" i="39" s="1"/>
  <c r="Q62" i="39" s="1"/>
  <c r="M196" i="18"/>
  <c r="I194" i="18"/>
  <c r="L196" i="18"/>
  <c r="F194" i="18"/>
  <c r="G194" i="18"/>
  <c r="H194" i="18"/>
  <c r="G63" i="39" l="1"/>
  <c r="J63" i="39" s="1"/>
  <c r="N63" i="39" s="1"/>
  <c r="O63" i="39" s="1"/>
  <c r="Q63" i="39" s="1"/>
  <c r="M197" i="18"/>
  <c r="G195" i="18"/>
  <c r="H195" i="18"/>
  <c r="I195" i="18"/>
  <c r="L197" i="18"/>
  <c r="G64" i="39" s="1"/>
  <c r="J64" i="39" s="1"/>
  <c r="N64" i="39" s="1"/>
  <c r="O64" i="39" s="1"/>
  <c r="Q64" i="39" s="1"/>
  <c r="F195" i="18"/>
  <c r="M198" i="18" l="1"/>
  <c r="G196" i="18"/>
  <c r="F196" i="18"/>
  <c r="H196" i="18"/>
  <c r="I196" i="18"/>
  <c r="L198" i="18"/>
  <c r="G65" i="39" l="1"/>
  <c r="J65" i="39" s="1"/>
  <c r="N65" i="39" s="1"/>
  <c r="O65" i="39" s="1"/>
  <c r="Q65" i="39" s="1"/>
  <c r="M199" i="18"/>
  <c r="F197" i="18" l="1"/>
  <c r="G197" i="18"/>
  <c r="H197" i="18"/>
  <c r="I197" i="18"/>
  <c r="L199" i="18"/>
  <c r="G66" i="39" l="1"/>
  <c r="J66" i="39" s="1"/>
  <c r="N66" i="39" s="1"/>
  <c r="O66" i="39" s="1"/>
  <c r="Q66" i="39" s="1"/>
  <c r="M200" i="18"/>
  <c r="I198" i="18" l="1"/>
  <c r="G198" i="18"/>
  <c r="F198" i="18"/>
  <c r="H198" i="18"/>
  <c r="L200" i="18"/>
  <c r="G67" i="39" l="1"/>
  <c r="J67" i="39" s="1"/>
  <c r="N67" i="39" s="1"/>
  <c r="O67" i="39" s="1"/>
  <c r="Q67" i="39" s="1"/>
  <c r="M201" i="18"/>
  <c r="F199" i="18"/>
  <c r="G199" i="18"/>
  <c r="I199" i="18"/>
  <c r="L201" i="18"/>
  <c r="H199" i="18"/>
  <c r="G68" i="39" l="1"/>
  <c r="J68" i="39" s="1"/>
  <c r="N68" i="39" s="1"/>
  <c r="O68" i="39" s="1"/>
  <c r="Q68" i="39" s="1"/>
  <c r="M202" i="18"/>
  <c r="F200" i="18"/>
  <c r="H200" i="18"/>
  <c r="G200" i="18"/>
  <c r="I200" i="18"/>
  <c r="L202" i="18"/>
  <c r="G69" i="39" s="1"/>
  <c r="J69" i="39" s="1"/>
  <c r="N69" i="39" s="1"/>
  <c r="O69" i="39" s="1"/>
  <c r="Q69" i="39" s="1"/>
  <c r="M203" i="18" l="1"/>
  <c r="L203" i="18" l="1"/>
  <c r="I201" i="18"/>
  <c r="F201" i="18"/>
  <c r="G201" i="18"/>
  <c r="H201" i="18"/>
  <c r="G70" i="39" l="1"/>
  <c r="J70" i="39" s="1"/>
  <c r="N70" i="39" s="1"/>
  <c r="O70" i="39" s="1"/>
  <c r="Q70" i="39" s="1"/>
  <c r="M204" i="18"/>
  <c r="H202" i="18" l="1"/>
  <c r="L204" i="18"/>
  <c r="G202" i="18"/>
  <c r="F202" i="18"/>
  <c r="I202" i="18"/>
  <c r="G71" i="39" l="1"/>
  <c r="J71" i="39" s="1"/>
  <c r="N71" i="39" s="1"/>
  <c r="O71" i="39" s="1"/>
  <c r="Q71" i="39" s="1"/>
  <c r="M205" i="18"/>
  <c r="F203" i="18"/>
  <c r="I203" i="18"/>
  <c r="L205" i="18"/>
  <c r="H203" i="18"/>
  <c r="G203" i="18"/>
  <c r="G72" i="39" l="1"/>
  <c r="J72" i="39" s="1"/>
  <c r="N72" i="39" s="1"/>
  <c r="O72" i="39" s="1"/>
  <c r="Q72" i="39" s="1"/>
  <c r="M206" i="18"/>
  <c r="G204" i="18"/>
  <c r="L206" i="18"/>
  <c r="G73" i="39" s="1"/>
  <c r="J73" i="39" s="1"/>
  <c r="N73" i="39" s="1"/>
  <c r="O73" i="39" s="1"/>
  <c r="Q73" i="39" s="1"/>
  <c r="H204" i="18"/>
  <c r="F204" i="18"/>
  <c r="I204" i="18"/>
  <c r="M207" i="18" l="1"/>
  <c r="F205" i="18" l="1"/>
  <c r="G205" i="18"/>
  <c r="H205" i="18"/>
  <c r="I205" i="18"/>
  <c r="L207" i="18"/>
  <c r="G74" i="39" l="1"/>
  <c r="J74" i="39" s="1"/>
  <c r="N74" i="39" s="1"/>
  <c r="O74" i="39" s="1"/>
  <c r="Q74" i="39" s="1"/>
  <c r="M208" i="18"/>
  <c r="G206" i="18" l="1"/>
  <c r="F206" i="18"/>
  <c r="I206" i="18"/>
  <c r="H206" i="18"/>
  <c r="L208" i="18"/>
  <c r="G75" i="39" l="1"/>
  <c r="J75" i="39" s="1"/>
  <c r="N75" i="39" s="1"/>
  <c r="O75" i="39" s="1"/>
  <c r="Q75" i="39" s="1"/>
  <c r="M209" i="18"/>
  <c r="G207" i="18"/>
  <c r="I207" i="18"/>
  <c r="F207" i="18"/>
  <c r="L209" i="18"/>
  <c r="H207" i="18"/>
  <c r="G76" i="39" l="1"/>
  <c r="J76" i="39" s="1"/>
  <c r="N76" i="39" s="1"/>
  <c r="O76" i="39" s="1"/>
  <c r="Q76" i="39" s="1"/>
  <c r="M210" i="18"/>
  <c r="G208" i="18"/>
  <c r="F208" i="18"/>
  <c r="I208" i="18"/>
  <c r="H208" i="18"/>
  <c r="L210" i="18"/>
  <c r="G77" i="39" s="1"/>
  <c r="J77" i="39" s="1"/>
  <c r="N77" i="39" s="1"/>
  <c r="O77" i="39" s="1"/>
  <c r="Q77" i="39" s="1"/>
  <c r="M211" i="18" l="1"/>
  <c r="G209" i="18" l="1"/>
  <c r="F209" i="18"/>
  <c r="L211" i="18"/>
  <c r="I209" i="18"/>
  <c r="H209" i="18"/>
  <c r="G78" i="39" l="1"/>
  <c r="J78" i="39" s="1"/>
  <c r="N78" i="39" s="1"/>
  <c r="O78" i="39" s="1"/>
  <c r="Q78" i="39" s="1"/>
  <c r="M212" i="18"/>
  <c r="F210" i="18"/>
  <c r="H210" i="18"/>
  <c r="G210" i="18"/>
  <c r="I210" i="18"/>
  <c r="L212" i="18"/>
  <c r="G79" i="39" l="1"/>
  <c r="J79" i="39" s="1"/>
  <c r="N79" i="39" s="1"/>
  <c r="O79" i="39" s="1"/>
  <c r="Q79" i="39" s="1"/>
  <c r="H211" i="18"/>
  <c r="F211" i="18"/>
  <c r="I211" i="18"/>
  <c r="G211" i="18"/>
  <c r="L213" i="18"/>
  <c r="G80" i="39" s="1"/>
  <c r="J80" i="39" s="1"/>
  <c r="N80" i="39" s="1"/>
  <c r="O80" i="39" s="1"/>
  <c r="Q80" i="39" s="1"/>
  <c r="M213" i="18"/>
  <c r="M214" i="18" l="1"/>
  <c r="G212" i="18"/>
  <c r="L214" i="18"/>
  <c r="F212" i="18"/>
  <c r="H212" i="18"/>
  <c r="I212" i="18"/>
  <c r="G81" i="39" l="1"/>
  <c r="J81" i="39" s="1"/>
  <c r="N81" i="39" s="1"/>
  <c r="O81" i="39" s="1"/>
  <c r="Q81" i="39" s="1"/>
  <c r="M215" i="18"/>
  <c r="F213" i="18" l="1"/>
  <c r="G213" i="18"/>
  <c r="H213" i="18"/>
  <c r="I213" i="18"/>
  <c r="L215" i="18"/>
  <c r="G82" i="39" l="1"/>
  <c r="J82" i="39" s="1"/>
  <c r="N82" i="39" s="1"/>
  <c r="O82" i="39" s="1"/>
  <c r="Q82" i="39" s="1"/>
  <c r="M216" i="18"/>
  <c r="F214" i="18"/>
  <c r="I214" i="18"/>
  <c r="G214" i="18"/>
  <c r="H214" i="18"/>
  <c r="L216" i="18"/>
  <c r="G83" i="39" l="1"/>
  <c r="J83" i="39" s="1"/>
  <c r="N83" i="39" s="1"/>
  <c r="O83" i="39" s="1"/>
  <c r="Q83" i="39" s="1"/>
  <c r="F215" i="18"/>
  <c r="H215" i="18"/>
  <c r="L217" i="18"/>
  <c r="G84" i="39" s="1"/>
  <c r="J84" i="39" s="1"/>
  <c r="N84" i="39" s="1"/>
  <c r="O84" i="39" s="1"/>
  <c r="Q84" i="39" s="1"/>
  <c r="I215" i="18"/>
  <c r="G215" i="18"/>
  <c r="M217" i="18"/>
  <c r="M218" i="18" l="1"/>
  <c r="H216" i="18"/>
  <c r="F216" i="18"/>
  <c r="L218" i="18"/>
  <c r="G85" i="39" s="1"/>
  <c r="J85" i="39" s="1"/>
  <c r="N85" i="39" s="1"/>
  <c r="O85" i="39" s="1"/>
  <c r="Q85" i="39" s="1"/>
  <c r="G216" i="18"/>
  <c r="I216" i="18"/>
  <c r="M219" i="18" l="1"/>
  <c r="G217" i="18"/>
  <c r="H217" i="18"/>
  <c r="L219" i="18"/>
  <c r="G86" i="39" s="1"/>
  <c r="J86" i="39" s="1"/>
  <c r="N86" i="39" s="1"/>
  <c r="O86" i="39" s="1"/>
  <c r="Q86" i="39" s="1"/>
  <c r="F217" i="18"/>
  <c r="I217" i="18"/>
  <c r="M220" i="18" l="1"/>
  <c r="G218" i="18" l="1"/>
  <c r="L220" i="18"/>
  <c r="I218" i="18"/>
  <c r="F218" i="18"/>
  <c r="H218" i="18"/>
  <c r="G87" i="39" l="1"/>
  <c r="J87" i="39" s="1"/>
  <c r="N87" i="39" s="1"/>
  <c r="O87" i="39" s="1"/>
  <c r="Q87" i="39" s="1"/>
  <c r="M221" i="18"/>
  <c r="H219" i="18"/>
  <c r="F219" i="18"/>
  <c r="G219" i="18"/>
  <c r="I219" i="18"/>
  <c r="L221" i="18"/>
  <c r="G88" i="39" l="1"/>
  <c r="J88" i="39" s="1"/>
  <c r="N88" i="39" s="1"/>
  <c r="O88" i="39" s="1"/>
  <c r="Q88" i="39" s="1"/>
  <c r="F220" i="18"/>
  <c r="H220" i="18"/>
  <c r="L222" i="18"/>
  <c r="G89" i="39" s="1"/>
  <c r="J89" i="39" s="1"/>
  <c r="N89" i="39" s="1"/>
  <c r="O89" i="39" s="1"/>
  <c r="Q89" i="39" s="1"/>
  <c r="G220" i="18"/>
  <c r="I220" i="18"/>
  <c r="M222" i="18"/>
  <c r="M223" i="18" l="1"/>
  <c r="G221" i="18" l="1"/>
  <c r="F221" i="18"/>
  <c r="I221" i="18"/>
  <c r="H221" i="18"/>
  <c r="L223" i="18"/>
  <c r="G90" i="39" l="1"/>
  <c r="J90" i="39" s="1"/>
  <c r="N90" i="39" s="1"/>
  <c r="O90" i="39" s="1"/>
  <c r="Q90" i="39" s="1"/>
  <c r="M224" i="18"/>
  <c r="G222" i="18"/>
  <c r="L224" i="18"/>
  <c r="G91" i="39" s="1"/>
  <c r="J91" i="39" s="1"/>
  <c r="N91" i="39" s="1"/>
  <c r="O91" i="39" s="1"/>
  <c r="Q91" i="39" s="1"/>
  <c r="I222" i="18"/>
  <c r="F222" i="18"/>
  <c r="H222" i="18"/>
  <c r="M225" i="18" l="1"/>
  <c r="H223" i="18" l="1"/>
  <c r="G223" i="18"/>
  <c r="F223" i="18"/>
  <c r="I223" i="18"/>
  <c r="L225" i="18"/>
  <c r="G92" i="39" l="1"/>
  <c r="J92" i="39" s="1"/>
  <c r="N92" i="39" s="1"/>
  <c r="O92" i="39" s="1"/>
  <c r="Q92" i="39" s="1"/>
  <c r="M226" i="18"/>
  <c r="G224" i="18"/>
  <c r="H224" i="18"/>
  <c r="I224" i="18"/>
  <c r="F224" i="18"/>
  <c r="L226" i="18"/>
  <c r="G93" i="39" s="1"/>
  <c r="J93" i="39" s="1"/>
  <c r="N93" i="39" s="1"/>
  <c r="O93" i="39" s="1"/>
  <c r="Q93" i="39" s="1"/>
  <c r="G225" i="18" l="1"/>
  <c r="F225" i="18"/>
  <c r="H225" i="18"/>
  <c r="I225" i="18"/>
  <c r="L227" i="18"/>
  <c r="G94" i="39" s="1"/>
  <c r="J94" i="39" s="1"/>
  <c r="N94" i="39" s="1"/>
  <c r="O94" i="39" s="1"/>
  <c r="Q94" i="39" s="1"/>
  <c r="M227" i="18"/>
  <c r="M228" i="18" l="1"/>
  <c r="H226" i="18" l="1"/>
  <c r="F226" i="18"/>
  <c r="I226" i="18"/>
  <c r="G226" i="18"/>
  <c r="L228" i="18"/>
  <c r="G95" i="39" l="1"/>
  <c r="J95" i="39" s="1"/>
  <c r="N95" i="39" s="1"/>
  <c r="O95" i="39" s="1"/>
  <c r="Q95" i="39" s="1"/>
  <c r="M229" i="18"/>
  <c r="I227" i="18"/>
  <c r="H227" i="18"/>
  <c r="G227" i="18"/>
  <c r="F227" i="18"/>
  <c r="L229" i="18"/>
  <c r="G96" i="39" l="1"/>
  <c r="J96" i="39" s="1"/>
  <c r="N96" i="39" s="1"/>
  <c r="O96" i="39" s="1"/>
  <c r="Q96" i="39" s="1"/>
  <c r="G228" i="18"/>
  <c r="F228" i="18"/>
  <c r="H228" i="18"/>
  <c r="I228" i="18"/>
  <c r="L230" i="18"/>
  <c r="G97" i="39" s="1"/>
  <c r="J97" i="39" s="1"/>
  <c r="N97" i="39" s="1"/>
  <c r="O97" i="39" s="1"/>
  <c r="Q97" i="39" s="1"/>
  <c r="M230" i="18"/>
  <c r="M231" i="18" l="1"/>
  <c r="L231" i="18" l="1"/>
  <c r="F229" i="18"/>
  <c r="G229" i="18"/>
  <c r="I229" i="18"/>
  <c r="H229" i="18"/>
  <c r="G98" i="39" l="1"/>
  <c r="J98" i="39" s="1"/>
  <c r="N98" i="39" s="1"/>
  <c r="O98" i="39" s="1"/>
  <c r="Q98" i="39" s="1"/>
  <c r="M232" i="18"/>
  <c r="I230" i="18"/>
  <c r="F230" i="18"/>
  <c r="L232" i="18"/>
  <c r="H230" i="18"/>
  <c r="G230" i="18"/>
  <c r="G99" i="39" l="1"/>
  <c r="J99" i="39" s="1"/>
  <c r="N99" i="39" s="1"/>
  <c r="O99" i="39" s="1"/>
  <c r="Q99" i="39" s="1"/>
  <c r="H231" i="18"/>
  <c r="I231" i="18"/>
  <c r="G231" i="18"/>
  <c r="F231" i="18"/>
  <c r="L233" i="18"/>
  <c r="G100" i="39" s="1"/>
  <c r="J100" i="39" s="1"/>
  <c r="N100" i="39" s="1"/>
  <c r="O100" i="39" s="1"/>
  <c r="Q100" i="39" s="1"/>
  <c r="M233" i="18"/>
  <c r="M234" i="18" l="1"/>
  <c r="I232" i="18"/>
  <c r="G232" i="18"/>
  <c r="L234" i="18"/>
  <c r="F232" i="18"/>
  <c r="H232" i="18"/>
  <c r="G101" i="39" l="1"/>
  <c r="J101" i="39" s="1"/>
  <c r="N101" i="39" s="1"/>
  <c r="O101" i="39" s="1"/>
  <c r="Q101" i="39" s="1"/>
  <c r="M235" i="18"/>
  <c r="I233" i="18" l="1"/>
  <c r="G233" i="18"/>
  <c r="F233" i="18"/>
  <c r="L235" i="18"/>
  <c r="H233" i="18"/>
  <c r="G102" i="39" l="1"/>
  <c r="J102" i="39" s="1"/>
  <c r="N102" i="39" s="1"/>
  <c r="O102" i="39" s="1"/>
  <c r="Q102" i="39" s="1"/>
  <c r="M236" i="18"/>
  <c r="L236" i="18" l="1"/>
  <c r="G234" i="18"/>
  <c r="H234" i="18"/>
  <c r="I234" i="18"/>
  <c r="F234" i="18"/>
  <c r="G103" i="39" l="1"/>
  <c r="J103" i="39" s="1"/>
  <c r="N103" i="39" s="1"/>
  <c r="O103" i="39" s="1"/>
  <c r="Q103" i="39" s="1"/>
  <c r="M237" i="18"/>
  <c r="H235" i="18"/>
  <c r="I235" i="18"/>
  <c r="F235" i="18"/>
  <c r="G235" i="18"/>
  <c r="L237" i="18"/>
  <c r="G104" i="39" s="1"/>
  <c r="J104" i="39" s="1"/>
  <c r="N104" i="39" s="1"/>
  <c r="O104" i="39" s="1"/>
  <c r="Q104" i="39" s="1"/>
  <c r="G236" i="18" l="1"/>
  <c r="F236" i="18"/>
  <c r="H236" i="18"/>
  <c r="I236" i="18"/>
  <c r="L238" i="18"/>
  <c r="G105" i="39" s="1"/>
  <c r="J105" i="39" s="1"/>
  <c r="N105" i="39" s="1"/>
  <c r="O105" i="39" s="1"/>
  <c r="Q105" i="39" s="1"/>
  <c r="M238" i="18"/>
  <c r="M239" i="18" l="1"/>
  <c r="G237" i="18"/>
  <c r="F237" i="18"/>
  <c r="H237" i="18"/>
  <c r="I237" i="18"/>
  <c r="L239" i="18"/>
  <c r="G106" i="39" s="1"/>
  <c r="J106" i="39" s="1"/>
  <c r="N106" i="39" s="1"/>
  <c r="O106" i="39" s="1"/>
  <c r="Q106" i="39" s="1"/>
  <c r="I238" i="18" l="1"/>
  <c r="H238" i="18"/>
  <c r="G238" i="18"/>
  <c r="L240" i="18"/>
  <c r="G107" i="39" s="1"/>
  <c r="J107" i="39" s="1"/>
  <c r="N107" i="39" s="1"/>
  <c r="O107" i="39" s="1"/>
  <c r="Q107" i="39" s="1"/>
  <c r="F238" i="18"/>
  <c r="M240" i="18"/>
  <c r="L241" i="18" l="1"/>
  <c r="G108" i="39" s="1"/>
  <c r="J108" i="39" s="1"/>
  <c r="N108" i="39" s="1"/>
  <c r="O108" i="39" s="1"/>
  <c r="Q108" i="39" s="1"/>
  <c r="F239" i="18"/>
  <c r="G239" i="18"/>
  <c r="I239" i="18"/>
  <c r="H239" i="18"/>
  <c r="M241" i="18"/>
  <c r="G240" i="18" l="1"/>
  <c r="H240" i="18"/>
  <c r="L242" i="18"/>
  <c r="G109" i="39" s="1"/>
  <c r="J109" i="39" s="1"/>
  <c r="N109" i="39" s="1"/>
  <c r="O109" i="39" s="1"/>
  <c r="Q109" i="39" s="1"/>
  <c r="I240" i="18"/>
  <c r="F240" i="18"/>
  <c r="M242" i="18"/>
  <c r="M243" i="18" l="1"/>
  <c r="F241" i="18" l="1"/>
  <c r="H241" i="18"/>
  <c r="I241" i="18"/>
  <c r="L243" i="18"/>
  <c r="G241" i="18"/>
  <c r="G110" i="39" l="1"/>
  <c r="J110" i="39" s="1"/>
  <c r="N110" i="39" s="1"/>
  <c r="O110" i="39" s="1"/>
  <c r="Q110" i="39" s="1"/>
  <c r="M244" i="18"/>
  <c r="G242" i="18" l="1"/>
  <c r="H242" i="18"/>
  <c r="F242" i="18"/>
  <c r="L244" i="18"/>
  <c r="I242" i="18"/>
  <c r="G111" i="39" l="1"/>
  <c r="J111" i="39" s="1"/>
  <c r="N111" i="39" s="1"/>
  <c r="O111" i="39" s="1"/>
  <c r="Q111" i="39" s="1"/>
  <c r="G243" i="18"/>
  <c r="F243" i="18"/>
  <c r="L245" i="18"/>
  <c r="I243" i="18"/>
  <c r="H243" i="18"/>
  <c r="M245" i="18"/>
  <c r="G112" i="39" l="1"/>
  <c r="J112" i="39" s="1"/>
  <c r="N112" i="39" s="1"/>
  <c r="O112" i="39" s="1"/>
  <c r="Q112" i="39" s="1"/>
  <c r="M246" i="18"/>
  <c r="G244" i="18"/>
  <c r="L246" i="18"/>
  <c r="G113" i="39" s="1"/>
  <c r="J113" i="39" s="1"/>
  <c r="N113" i="39" s="1"/>
  <c r="O113" i="39" s="1"/>
  <c r="Q113" i="39" s="1"/>
  <c r="F244" i="18"/>
  <c r="H244" i="18"/>
  <c r="I244" i="18"/>
  <c r="M247" i="18" l="1"/>
  <c r="I245" i="18" l="1"/>
  <c r="H245" i="18"/>
  <c r="F245" i="18"/>
  <c r="L247" i="18"/>
  <c r="G245" i="18"/>
  <c r="G114" i="39" l="1"/>
  <c r="J114" i="39" s="1"/>
  <c r="N114" i="39" s="1"/>
  <c r="O114" i="39" s="1"/>
  <c r="Q114" i="39" s="1"/>
  <c r="M248" i="18"/>
  <c r="F246" i="18" l="1"/>
  <c r="H246" i="18"/>
  <c r="L248" i="18"/>
  <c r="I246" i="18"/>
  <c r="G246" i="18"/>
  <c r="G115" i="39" l="1"/>
  <c r="J115" i="39" s="1"/>
  <c r="N115" i="39" s="1"/>
  <c r="O115" i="39" s="1"/>
  <c r="Q115" i="39" s="1"/>
  <c r="M249" i="18"/>
  <c r="F247" i="18"/>
  <c r="G247" i="18"/>
  <c r="L249" i="18"/>
  <c r="H247" i="18"/>
  <c r="I247" i="18"/>
  <c r="G116" i="39" l="1"/>
  <c r="J116" i="39" s="1"/>
  <c r="N116" i="39" s="1"/>
  <c r="O116" i="39" s="1"/>
  <c r="Q116" i="39" s="1"/>
  <c r="M250" i="18"/>
  <c r="G248" i="18" l="1"/>
  <c r="L250" i="18"/>
  <c r="F248" i="18"/>
  <c r="H248" i="18"/>
  <c r="I248" i="18"/>
  <c r="G117" i="39" l="1"/>
  <c r="J117" i="39" s="1"/>
  <c r="N117" i="39" s="1"/>
  <c r="O117" i="39" s="1"/>
  <c r="Q117" i="39" s="1"/>
  <c r="M251" i="18"/>
  <c r="H249" i="18"/>
  <c r="G249" i="18"/>
  <c r="L251" i="18"/>
  <c r="I249" i="18"/>
  <c r="F249" i="18"/>
  <c r="G118" i="39" l="1"/>
  <c r="J118" i="39" s="1"/>
  <c r="N118" i="39" s="1"/>
  <c r="O118" i="39" s="1"/>
  <c r="Q118" i="39" s="1"/>
  <c r="M252" i="18"/>
  <c r="L252" i="18"/>
  <c r="G119" i="39" s="1"/>
  <c r="J119" i="39" s="1"/>
  <c r="N119" i="39" s="1"/>
  <c r="O119" i="39" s="1"/>
  <c r="Q119" i="39" s="1"/>
  <c r="G250" i="18"/>
  <c r="F250" i="18"/>
  <c r="H250" i="18"/>
  <c r="I250" i="18"/>
  <c r="F251" i="18" l="1"/>
  <c r="H251" i="18"/>
  <c r="I251" i="18"/>
  <c r="L253" i="18"/>
  <c r="G251" i="18"/>
  <c r="M253" i="18"/>
  <c r="G120" i="39" l="1"/>
  <c r="J120" i="39" s="1"/>
  <c r="N120" i="39" s="1"/>
  <c r="O120" i="39" s="1"/>
  <c r="Q120" i="39" s="1"/>
  <c r="M254" i="18"/>
  <c r="F252" i="18"/>
  <c r="H252" i="18"/>
  <c r="G252" i="18"/>
  <c r="I252" i="18"/>
  <c r="L254" i="18"/>
  <c r="G121" i="39" s="1"/>
  <c r="J121" i="39" s="1"/>
  <c r="N121" i="39" s="1"/>
  <c r="O121" i="39" s="1"/>
  <c r="Q121" i="39" s="1"/>
  <c r="F253" i="18" l="1"/>
  <c r="L255" i="18"/>
  <c r="G122" i="39" s="1"/>
  <c r="J122" i="39" s="1"/>
  <c r="N122" i="39" s="1"/>
  <c r="O122" i="39" s="1"/>
  <c r="Q122" i="39" s="1"/>
  <c r="G253" i="18"/>
  <c r="H253" i="18"/>
  <c r="I253" i="18"/>
  <c r="M255" i="18"/>
  <c r="M256" i="18" l="1"/>
  <c r="I254" i="18"/>
  <c r="H254" i="18"/>
  <c r="F254" i="18"/>
  <c r="G254" i="18"/>
  <c r="L256" i="18"/>
  <c r="G123" i="39" s="1"/>
  <c r="J123" i="39" s="1"/>
  <c r="N123" i="39" s="1"/>
  <c r="O123" i="39" s="1"/>
  <c r="Q123" i="39" s="1"/>
  <c r="M257" i="18" l="1"/>
  <c r="F255" i="18"/>
  <c r="G255" i="18"/>
  <c r="H255" i="18"/>
  <c r="I255" i="18"/>
  <c r="L257" i="18"/>
  <c r="G124" i="39" s="1"/>
  <c r="J124" i="39" s="1"/>
  <c r="N124" i="39" s="1"/>
  <c r="O124" i="39" s="1"/>
  <c r="Q124" i="39" s="1"/>
  <c r="M258" i="18" l="1"/>
  <c r="H256" i="18" l="1"/>
  <c r="I256" i="18"/>
  <c r="G256" i="18"/>
  <c r="L258" i="18"/>
  <c r="F256" i="18"/>
  <c r="G125" i="39" l="1"/>
  <c r="J125" i="39" s="1"/>
  <c r="N125" i="39" s="1"/>
  <c r="O125" i="39" s="1"/>
  <c r="Q125" i="39" s="1"/>
  <c r="M259" i="18"/>
  <c r="H257" i="18"/>
  <c r="I257" i="18"/>
  <c r="F257" i="18"/>
  <c r="L259" i="18"/>
  <c r="G126" i="39" s="1"/>
  <c r="J126" i="39" s="1"/>
  <c r="N126" i="39" s="1"/>
  <c r="O126" i="39" s="1"/>
  <c r="Q126" i="39" s="1"/>
  <c r="G257" i="18"/>
  <c r="M260" i="18" l="1"/>
  <c r="I258" i="18"/>
  <c r="G258" i="18"/>
  <c r="F258" i="18"/>
  <c r="L260" i="18"/>
  <c r="G127" i="39" s="1"/>
  <c r="J127" i="39" s="1"/>
  <c r="N127" i="39" s="1"/>
  <c r="O127" i="39" s="1"/>
  <c r="Q127" i="39" s="1"/>
  <c r="H258" i="18"/>
  <c r="F259" i="18" l="1"/>
  <c r="G259" i="18"/>
  <c r="H259" i="18"/>
  <c r="I259" i="18"/>
  <c r="L261" i="18"/>
  <c r="M261" i="18"/>
  <c r="G128" i="39" l="1"/>
  <c r="J128" i="39" s="1"/>
  <c r="N128" i="39" s="1"/>
  <c r="O128" i="39" s="1"/>
  <c r="Q128" i="39" s="1"/>
  <c r="L262" i="18"/>
  <c r="G129" i="39" s="1"/>
  <c r="J129" i="39" s="1"/>
  <c r="N129" i="39" s="1"/>
  <c r="O129" i="39" s="1"/>
  <c r="Q129" i="39" s="1"/>
  <c r="G260" i="18"/>
  <c r="H260" i="18"/>
  <c r="F260" i="18"/>
  <c r="I260" i="18"/>
  <c r="M262" i="18"/>
  <c r="M263" i="18" l="1"/>
  <c r="L263" i="18" l="1"/>
  <c r="G261" i="18"/>
  <c r="H261" i="18"/>
  <c r="I261" i="18"/>
  <c r="F261" i="18"/>
  <c r="G130" i="39" l="1"/>
  <c r="J130" i="39" s="1"/>
  <c r="N130" i="39" s="1"/>
  <c r="O130" i="39" s="1"/>
  <c r="Q130" i="39" s="1"/>
  <c r="M264" i="18"/>
  <c r="G262" i="18"/>
  <c r="I262" i="18"/>
  <c r="L264" i="18"/>
  <c r="G131" i="39" s="1"/>
  <c r="J131" i="39" s="1"/>
  <c r="N131" i="39" s="1"/>
  <c r="O131" i="39" s="1"/>
  <c r="Q131" i="39" s="1"/>
  <c r="H262" i="18"/>
  <c r="F262" i="18"/>
  <c r="I263" i="18" l="1"/>
  <c r="F263" i="18"/>
  <c r="G263" i="18"/>
  <c r="H263" i="18"/>
  <c r="L265" i="18"/>
  <c r="G132" i="39" s="1"/>
  <c r="J132" i="39" s="1"/>
  <c r="N132" i="39" s="1"/>
  <c r="O132" i="39" s="1"/>
  <c r="Q132" i="39" s="1"/>
  <c r="M265" i="18"/>
  <c r="M266" i="18" l="1"/>
  <c r="L266" i="18" l="1"/>
  <c r="G264" i="18"/>
  <c r="H264" i="18"/>
  <c r="F264" i="18"/>
  <c r="I264" i="18"/>
  <c r="G133" i="39" l="1"/>
  <c r="J133" i="39" s="1"/>
  <c r="N133" i="39" s="1"/>
  <c r="O133" i="39" s="1"/>
  <c r="Q133" i="39" s="1"/>
  <c r="M267" i="18"/>
  <c r="F265" i="18"/>
  <c r="I265" i="18"/>
  <c r="G265" i="18"/>
  <c r="H265" i="18"/>
  <c r="L267" i="18"/>
  <c r="G134" i="39" l="1"/>
  <c r="J134" i="39" s="1"/>
  <c r="N134" i="39" s="1"/>
  <c r="O134" i="39" s="1"/>
  <c r="Q134" i="39" s="1"/>
  <c r="M268" i="18"/>
  <c r="I266" i="18"/>
  <c r="L268" i="18"/>
  <c r="G135" i="39" s="1"/>
  <c r="J135" i="39" s="1"/>
  <c r="N135" i="39" s="1"/>
  <c r="O135" i="39" s="1"/>
  <c r="Q135" i="39" s="1"/>
  <c r="F266" i="18"/>
  <c r="G266" i="18"/>
  <c r="H266" i="18"/>
  <c r="H267" i="18" l="1"/>
  <c r="I267" i="18"/>
  <c r="L269" i="18"/>
  <c r="G267" i="18"/>
  <c r="F267" i="18"/>
  <c r="M269" i="18"/>
  <c r="G136" i="39" l="1"/>
  <c r="J136" i="39" s="1"/>
  <c r="N136" i="39" s="1"/>
  <c r="O136" i="39" s="1"/>
  <c r="Q136" i="39" s="1"/>
  <c r="G147" i="39"/>
  <c r="J147" i="39" s="1"/>
  <c r="N147" i="39" s="1"/>
  <c r="O147" i="39" s="1"/>
  <c r="Q147" i="39" s="1"/>
  <c r="M270" i="18"/>
  <c r="F268" i="18"/>
  <c r="L270" i="18"/>
  <c r="G137" i="39" s="1"/>
  <c r="J137" i="39" s="1"/>
  <c r="N137" i="39" s="1"/>
  <c r="O137" i="39" s="1"/>
  <c r="Q137" i="39" s="1"/>
  <c r="H268" i="18"/>
  <c r="I268" i="18"/>
  <c r="G268" i="18"/>
  <c r="G141" i="39" l="1"/>
  <c r="J141" i="39" s="1"/>
  <c r="N141" i="39" s="1"/>
  <c r="O141" i="39" s="1"/>
  <c r="Q141" i="39" s="1"/>
  <c r="G139" i="39"/>
  <c r="J139" i="39" s="1"/>
  <c r="N139" i="39" s="1"/>
  <c r="O139" i="39" s="1"/>
  <c r="Q139" i="39" s="1"/>
  <c r="G143" i="39"/>
  <c r="J143" i="39" s="1"/>
  <c r="N143" i="39" s="1"/>
  <c r="O143" i="39" s="1"/>
  <c r="Q143" i="39" s="1"/>
  <c r="G148" i="39"/>
  <c r="J148" i="39" s="1"/>
  <c r="N148" i="39" s="1"/>
  <c r="O148" i="39" s="1"/>
  <c r="Q148" i="39" s="1"/>
  <c r="M271" i="18"/>
  <c r="G151" i="39"/>
  <c r="J151" i="39" s="1"/>
  <c r="F269" i="18"/>
  <c r="G269" i="18"/>
  <c r="L271" i="18"/>
  <c r="I269" i="18"/>
  <c r="H269" i="18"/>
  <c r="G138" i="39" l="1"/>
  <c r="J138" i="39" s="1"/>
  <c r="N138" i="39" s="1"/>
  <c r="O138" i="39" s="1"/>
  <c r="Q138" i="39" s="1"/>
  <c r="G153" i="39"/>
  <c r="J153" i="39" s="1"/>
  <c r="G142" i="39"/>
  <c r="J142" i="39" s="1"/>
  <c r="N142" i="39" s="1"/>
  <c r="O142" i="39" s="1"/>
  <c r="Q142" i="39" s="1"/>
  <c r="G140" i="39"/>
  <c r="J140" i="39" s="1"/>
  <c r="N140" i="39" s="1"/>
  <c r="O140" i="39" s="1"/>
  <c r="Q140" i="39" s="1"/>
  <c r="G145" i="39"/>
  <c r="J145" i="39" s="1"/>
  <c r="N145" i="39" s="1"/>
  <c r="O145" i="39" s="1"/>
  <c r="Q145" i="39" s="1"/>
  <c r="G144" i="39"/>
  <c r="J144" i="39" s="1"/>
  <c r="N144" i="39" s="1"/>
  <c r="O144" i="39" s="1"/>
  <c r="Q144" i="39" s="1"/>
  <c r="G152" i="39"/>
  <c r="J152" i="39" s="1"/>
  <c r="G146" i="39"/>
  <c r="J146" i="39" s="1"/>
  <c r="N146" i="39" s="1"/>
  <c r="O146" i="39" s="1"/>
  <c r="Q146" i="39" s="1"/>
  <c r="G149" i="39"/>
  <c r="J149" i="39" s="1"/>
  <c r="N149" i="39" s="1"/>
  <c r="O149" i="39" s="1"/>
  <c r="Q149" i="39" s="1"/>
  <c r="G150" i="39"/>
  <c r="J150" i="39" s="1"/>
  <c r="H271" i="18"/>
  <c r="I271" i="18"/>
  <c r="G271" i="18"/>
  <c r="F271" i="18"/>
  <c r="F270" i="18"/>
  <c r="H270" i="18"/>
  <c r="I270" i="18"/>
  <c r="G270" i="18"/>
  <c r="N150" i="39" l="1"/>
  <c r="O150" i="39" s="1"/>
  <c r="Q150" i="39" s="1"/>
  <c r="N151" i="39" l="1"/>
  <c r="N152" i="39" s="1"/>
  <c r="O151" i="39" l="1"/>
  <c r="Q151" i="39" s="1"/>
  <c r="O152" i="39"/>
  <c r="Q152" i="39" s="1"/>
  <c r="N153" i="39"/>
  <c r="O153" i="39" s="1"/>
  <c r="Q153" i="39" s="1"/>
  <c r="O154" i="39" l="1"/>
  <c r="Q154" i="3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Ari Magnaguagno</author>
    <author>Iuri Izawa</author>
  </authors>
  <commentList>
    <comment ref="J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Ari Magnaguagno:</t>
        </r>
        <r>
          <rPr>
            <sz val="9"/>
            <color indexed="81"/>
            <rFont val="Tahoma"/>
            <family val="2"/>
          </rPr>
          <t xml:space="preserve">
C = Capitalizada;
E = Exigível</t>
        </r>
      </text>
    </comment>
    <comment ref="K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Ari Magnaguagno:</t>
        </r>
        <r>
          <rPr>
            <sz val="9"/>
            <color indexed="81"/>
            <rFont val="Tahoma"/>
            <family val="2"/>
          </rPr>
          <t xml:space="preserve">
  1 = Mesal
  3 = Trimestral
  6 = Semestral
12 = Anual</t>
        </r>
      </text>
    </comment>
    <comment ref="M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Ari Magnaguagno:</t>
        </r>
        <r>
          <rPr>
            <sz val="9"/>
            <color indexed="81"/>
            <rFont val="Tahoma"/>
            <family val="2"/>
          </rPr>
          <t xml:space="preserve">
  1 = Mensal
  3 = Trimestral
  6 = Semestral
12 = Anual</t>
        </r>
      </text>
    </comment>
    <comment ref="E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Fórmula depende da data de contratação.
</t>
        </r>
      </text>
    </comment>
  </commentList>
</comments>
</file>

<file path=xl/sharedStrings.xml><?xml version="1.0" encoding="utf-8"?>
<sst xmlns="http://schemas.openxmlformats.org/spreadsheetml/2006/main" count="622" uniqueCount="301">
  <si>
    <t>FERIADOS</t>
  </si>
  <si>
    <t>SÉRIE HISTÓRICA DO IPCA</t>
  </si>
  <si>
    <t xml:space="preserve">    VARIAÇÃO</t>
  </si>
  <si>
    <t>ANO</t>
  </si>
  <si>
    <t>MÊS</t>
  </si>
  <si>
    <t>NÚMERO ÍNDICE</t>
  </si>
  <si>
    <t>(%)</t>
  </si>
  <si>
    <t>(DEZ 93 = 100)</t>
  </si>
  <si>
    <t>NO</t>
  </si>
  <si>
    <t>MESES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</si>
  <si>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</si>
  <si>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</si>
  <si>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</si>
  <si>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</si>
  <si>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</si>
  <si>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</si>
  <si>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</si>
  <si>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</si>
  <si>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</si>
  <si>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</si>
  <si>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</si>
  <si>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</si>
  <si>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(continuação)</t>
  </si>
  <si>
    <t xml:space="preserve">Fonte: IBGE, Diretoria de Pesquisas, Coordenação de Índices de Preços, </t>
  </si>
  <si>
    <t>Sistema Nacional de Índices de Preços ao Consumidor.</t>
  </si>
  <si>
    <t>SÉRIE PARA CÁLCULO</t>
  </si>
  <si>
    <t>Amortização R$</t>
  </si>
  <si>
    <t>ndu</t>
  </si>
  <si>
    <t>ndm</t>
  </si>
  <si>
    <t>-&gt;&gt; M-2</t>
  </si>
  <si>
    <t>Fator Spread</t>
  </si>
  <si>
    <t>Fator Juros</t>
  </si>
  <si>
    <t>Série IPCA M-2</t>
  </si>
  <si>
    <t>Fatores</t>
  </si>
  <si>
    <t>Fator TLP</t>
  </si>
  <si>
    <t>Fator Juros Prefixados</t>
  </si>
  <si>
    <t>Spread AF              (% a.a.)</t>
  </si>
  <si>
    <t>Nº Parcelas</t>
  </si>
  <si>
    <t>Nº de Carências</t>
  </si>
  <si>
    <t>Nº de Amortizações</t>
  </si>
  <si>
    <t>Dt Vencto</t>
  </si>
  <si>
    <t>% Var</t>
  </si>
  <si>
    <t>Sld Devedor R$</t>
  </si>
  <si>
    <t>Mês</t>
  </si>
  <si>
    <t>Data:</t>
  </si>
  <si>
    <t>Periodicidade Amortização</t>
  </si>
  <si>
    <t>Periodicidade Carência</t>
  </si>
  <si>
    <t>Totais</t>
  </si>
  <si>
    <t>2020</t>
  </si>
  <si>
    <t>2021</t>
  </si>
  <si>
    <t>2022</t>
  </si>
  <si>
    <t>2023</t>
  </si>
  <si>
    <t>2024</t>
  </si>
  <si>
    <t>2025</t>
  </si>
  <si>
    <t>Total Geral</t>
  </si>
  <si>
    <t>Valores</t>
  </si>
  <si>
    <t>01/2020</t>
  </si>
  <si>
    <t>2020 Total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</si>
  <si>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</si>
  <si>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</si>
  <si>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</si>
  <si>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</si>
  <si>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</si>
  <si>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</si>
  <si>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</si>
  <si>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</si>
  <si>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</si>
  <si>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</si>
  <si>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</si>
  <si>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01/2021</t>
  </si>
  <si>
    <t>2021 Total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</si>
  <si>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</si>
  <si>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</si>
  <si>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</si>
  <si>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</si>
  <si>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</si>
  <si>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</si>
  <si>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</si>
  <si>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</si>
  <si>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</si>
  <si>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</si>
  <si>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12/2021</t>
  </si>
  <si>
    <t>01/2022</t>
  </si>
  <si>
    <t>2022 Total</t>
  </si>
  <si>
    <t>02/2022</t>
  </si>
  <si>
    <t>03/2022</t>
  </si>
  <si>
    <t>04/2022</t>
  </si>
  <si>
    <t>05/2022</t>
  </si>
  <si>
    <t>06/2022</t>
  </si>
  <si>
    <t>07/2022</t>
  </si>
  <si>
    <t>08/2022</t>
  </si>
  <si>
    <t>09/2022</t>
  </si>
  <si>
    <t>10/2022</t>
  </si>
  <si>
    <t>11/2022</t>
  </si>
  <si>
    <t>12/2022</t>
  </si>
  <si>
    <t>01/2023</t>
  </si>
  <si>
    <t>2023 Total</t>
  </si>
  <si>
    <t>02/2023</t>
  </si>
  <si>
    <t>03/2023</t>
  </si>
  <si>
    <t>04/2023</t>
  </si>
  <si>
    <t>05/2023</t>
  </si>
  <si>
    <t>06/2023</t>
  </si>
  <si>
    <t>07/2023</t>
  </si>
  <si>
    <t>08/2023</t>
  </si>
  <si>
    <t>09/2023</t>
  </si>
  <si>
    <t>10/2023</t>
  </si>
  <si>
    <t>11/2023</t>
  </si>
  <si>
    <t>12/2023</t>
  </si>
  <si>
    <t>01/2024</t>
  </si>
  <si>
    <t>2024 Total</t>
  </si>
  <si>
    <t>02/2024</t>
  </si>
  <si>
    <t>03/2024</t>
  </si>
  <si>
    <t>04/2024</t>
  </si>
  <si>
    <t>05/2024</t>
  </si>
  <si>
    <t>06/2024</t>
  </si>
  <si>
    <t>07/2024</t>
  </si>
  <si>
    <t>08/2024</t>
  </si>
  <si>
    <t>09/2024</t>
  </si>
  <si>
    <t>10/2024</t>
  </si>
  <si>
    <t>11/2024</t>
  </si>
  <si>
    <t>12/2024</t>
  </si>
  <si>
    <t>01/2025</t>
  </si>
  <si>
    <t>2025 Total</t>
  </si>
  <si>
    <t>02/2025</t>
  </si>
  <si>
    <t>03/2025</t>
  </si>
  <si>
    <t>04/2025</t>
  </si>
  <si>
    <t>05/2025</t>
  </si>
  <si>
    <t xml:space="preserve"> Amortização R$</t>
  </si>
  <si>
    <t>Ano</t>
  </si>
  <si>
    <t>Mês/Ano</t>
  </si>
  <si>
    <t>Cód</t>
  </si>
  <si>
    <t>Descrição</t>
  </si>
  <si>
    <t>Mensal</t>
  </si>
  <si>
    <t>Trimestral</t>
  </si>
  <si>
    <t>Semestral</t>
  </si>
  <si>
    <t>Anual</t>
  </si>
  <si>
    <t>Dt de Contratação</t>
  </si>
  <si>
    <t>Dt da Liberação</t>
  </si>
  <si>
    <t>Valor Liberado</t>
  </si>
  <si>
    <t xml:space="preserve"> de Contratos com Dias Úteis</t>
  </si>
  <si>
    <t xml:space="preserve"> e Amortização </t>
  </si>
  <si>
    <t>Juros Prefixados     (% a.a.)</t>
  </si>
  <si>
    <t>Spread BNDES      (% a.a.)</t>
  </si>
  <si>
    <t>Juros em R$</t>
  </si>
  <si>
    <t xml:space="preserve"> Juros em R$</t>
  </si>
  <si>
    <t>Fator "IPCA"</t>
  </si>
  <si>
    <t>Fator Spread "BNDES"</t>
  </si>
  <si>
    <t>Fator Spread "BADESUL"</t>
  </si>
  <si>
    <t>Dt "Quebra"</t>
  </si>
  <si>
    <t xml:space="preserve">     </t>
  </si>
  <si>
    <t>06/2025</t>
  </si>
  <si>
    <t>07/2025</t>
  </si>
  <si>
    <t>08/2025</t>
  </si>
  <si>
    <t>09/2025</t>
  </si>
  <si>
    <t>10/2025</t>
  </si>
  <si>
    <t>11/2025</t>
  </si>
  <si>
    <t>12/2025</t>
  </si>
  <si>
    <t>Mutuário:</t>
  </si>
  <si>
    <t>Valor em R$:</t>
  </si>
  <si>
    <t xml:space="preserve">Carência </t>
  </si>
  <si>
    <t>Entre 31  e  33   =&gt; 0,14%</t>
  </si>
  <si>
    <t>Prazo Total da Operação (em meses)</t>
  </si>
  <si>
    <t>Nº Meses</t>
  </si>
  <si>
    <t>Fator "K" do FGI</t>
  </si>
  <si>
    <t>FGI                                   %  Aplicado                                 Valor do Fator K</t>
  </si>
  <si>
    <t>% Garantia FGI</t>
  </si>
  <si>
    <t>Obs.: Só é possível alterar as células em "amarelo claro".</t>
  </si>
  <si>
    <r>
      <t>Valor Adicional de "</t>
    </r>
    <r>
      <rPr>
        <b/>
        <sz val="10"/>
        <rFont val="Times New Roman"/>
        <family val="1"/>
      </rPr>
      <t>FGI</t>
    </r>
    <r>
      <rPr>
        <sz val="10"/>
        <rFont val="Times New Roman"/>
        <family val="1"/>
      </rPr>
      <t>" Financiado</t>
    </r>
  </si>
  <si>
    <t>Fator de Ajuste</t>
  </si>
  <si>
    <t>http://www.bndes.gov.br/Moedas/um777.txt</t>
  </si>
  <si>
    <t xml:space="preserve"> </t>
  </si>
  <si>
    <t>Dt ref. M-3</t>
  </si>
  <si>
    <t>2026</t>
  </si>
  <si>
    <t>01/2026</t>
  </si>
  <si>
    <t>02/2026</t>
  </si>
  <si>
    <t>03/2026</t>
  </si>
  <si>
    <t>04/2026</t>
  </si>
  <si>
    <t>05/2026</t>
  </si>
  <si>
    <t>06/2026</t>
  </si>
  <si>
    <t>07/2026</t>
  </si>
  <si>
    <t>08/2026</t>
  </si>
  <si>
    <t>09/2026</t>
  </si>
  <si>
    <t>10/2026</t>
  </si>
  <si>
    <t>11/2026</t>
  </si>
  <si>
    <t>12/2026</t>
  </si>
  <si>
    <t>2026 Total</t>
  </si>
  <si>
    <t>2027</t>
  </si>
  <si>
    <t>01/2027</t>
  </si>
  <si>
    <t>02/2027</t>
  </si>
  <si>
    <t>03/2027</t>
  </si>
  <si>
    <t>04/2027</t>
  </si>
  <si>
    <t>05/2027</t>
  </si>
  <si>
    <t>06/2027</t>
  </si>
  <si>
    <t>07/2027</t>
  </si>
  <si>
    <t>08/2027</t>
  </si>
  <si>
    <t>09/2027</t>
  </si>
  <si>
    <t>10/2027</t>
  </si>
  <si>
    <t>11/2027</t>
  </si>
  <si>
    <t>12/2027</t>
  </si>
  <si>
    <t>2027 Total</t>
  </si>
  <si>
    <t>2028</t>
  </si>
  <si>
    <t>01/2028</t>
  </si>
  <si>
    <t>02/2028</t>
  </si>
  <si>
    <t>03/2028</t>
  </si>
  <si>
    <t>04/2028</t>
  </si>
  <si>
    <t>05/2028</t>
  </si>
  <si>
    <t>06/2028</t>
  </si>
  <si>
    <t>07/2028</t>
  </si>
  <si>
    <t>08/2028</t>
  </si>
  <si>
    <t>09/2028</t>
  </si>
  <si>
    <t>10/2028</t>
  </si>
  <si>
    <t>11/2028</t>
  </si>
  <si>
    <t>12/2028</t>
  </si>
  <si>
    <t>2028 Total</t>
  </si>
  <si>
    <t>2029</t>
  </si>
  <si>
    <t>01/2029</t>
  </si>
  <si>
    <t>02/2029</t>
  </si>
  <si>
    <t>03/2029</t>
  </si>
  <si>
    <t>04/2029</t>
  </si>
  <si>
    <t>05/2029</t>
  </si>
  <si>
    <t>06/2029</t>
  </si>
  <si>
    <t>07/2029</t>
  </si>
  <si>
    <t>08/2029</t>
  </si>
  <si>
    <t>09/2029</t>
  </si>
  <si>
    <t>10/2029</t>
  </si>
  <si>
    <t>11/2029</t>
  </si>
  <si>
    <t>12/2029</t>
  </si>
  <si>
    <t>2029 Total</t>
  </si>
  <si>
    <t xml:space="preserve"> Carência Exigível ou Capitalizada?</t>
  </si>
  <si>
    <t>E</t>
  </si>
  <si>
    <t>2030</t>
  </si>
  <si>
    <t>01/2030</t>
  </si>
  <si>
    <t>2030 Total</t>
  </si>
  <si>
    <t>Fator Ajuste Anual (Taxa Juros NTN-B  (vinculda ao IPCA))</t>
  </si>
  <si>
    <t xml:space="preserve">Projeção de Valores em Reais (R$) - Considerando o Cálculo da Projeção </t>
  </si>
  <si>
    <t>Taxa  Juros Efetiva Total (% a.a.)</t>
  </si>
  <si>
    <t>Prêmio          NTN-B             5 anos:</t>
  </si>
  <si>
    <t>02/2030</t>
  </si>
  <si>
    <t>03/2030</t>
  </si>
  <si>
    <t>Mutuário ....:</t>
  </si>
  <si>
    <t>Taxa Juros :</t>
  </si>
  <si>
    <t>Data</t>
  </si>
  <si>
    <t>Taxa</t>
  </si>
  <si>
    <t>Ano/Mês</t>
  </si>
  <si>
    <t>Q:\Planilhas de Simulação\Simulador TLP.xlxs</t>
  </si>
  <si>
    <t>Tot a Pagar R$</t>
  </si>
  <si>
    <t>04/2030</t>
  </si>
  <si>
    <t>05/2030</t>
  </si>
  <si>
    <t>06/2030</t>
  </si>
  <si>
    <t>07/2030</t>
  </si>
  <si>
    <t xml:space="preserve"> Tot a Pagar R$</t>
  </si>
  <si>
    <t>% ao ano + Variação IPCA</t>
  </si>
  <si>
    <t>08/2030</t>
  </si>
  <si>
    <t>09/2030</t>
  </si>
  <si>
    <t>% ao ano + variação IPCA projetado pela média últimos 12 meses.</t>
  </si>
  <si>
    <t>(vazio)</t>
  </si>
  <si>
    <t/>
  </si>
  <si>
    <t>Nº Parc.</t>
  </si>
  <si>
    <t>10/2030</t>
  </si>
  <si>
    <t>11/2030</t>
  </si>
  <si>
    <t>12/2030</t>
  </si>
  <si>
    <t>2031</t>
  </si>
  <si>
    <t>01/2031</t>
  </si>
  <si>
    <t>2031 Total</t>
  </si>
  <si>
    <t>Entre 00  e  03   =&gt; 1,16%</t>
  </si>
  <si>
    <t>Entre 04  e  06   =&gt; 0,51%</t>
  </si>
  <si>
    <t>Entre 07  e  09   =&gt; 0,35%</t>
  </si>
  <si>
    <t>Entre 10  e  12   =&gt; 0,27%</t>
  </si>
  <si>
    <t>Entre 13  e  15   =&gt; 0,23%</t>
  </si>
  <si>
    <t>Entre 16  e  18   =&gt; 0,20%</t>
  </si>
  <si>
    <t>Entre 19  e  21   =&gt; 0,18%</t>
  </si>
  <si>
    <t>Entre 22  e  24   =&gt; 0,17%</t>
  </si>
  <si>
    <t>Entre 25  e  27   =&gt; 0,16%</t>
  </si>
  <si>
    <t>Entre 28  e  30   =&gt; 0,15%</t>
  </si>
  <si>
    <t>Entre 34  e  36   =&gt; 0,13%</t>
  </si>
  <si>
    <t>Entre 37  e  39   =&gt; 0,12%</t>
  </si>
  <si>
    <t>Entre 40  e  51   =&gt; 0,11%</t>
  </si>
  <si>
    <t>Entre 52  e  57   =&gt; 0,10%</t>
  </si>
  <si>
    <t>Entre 58  e  63   =&gt; 0,09%</t>
  </si>
  <si>
    <t>Entre 64  e  72   =&gt; 0,08%</t>
  </si>
  <si>
    <t>Entre 76  e  84   =&gt; 0,07%</t>
  </si>
  <si>
    <t>Entre 85  e  96   =&gt; 0,06%</t>
  </si>
  <si>
    <t>Entre97  e 111   =&gt; 0,05%</t>
  </si>
  <si>
    <t>Igual ou &gt;  112   =&gt; 0,04%</t>
  </si>
  <si>
    <t>%</t>
  </si>
  <si>
    <t>02/2031</t>
  </si>
  <si>
    <t>03/2031</t>
  </si>
  <si>
    <t>04/2031</t>
  </si>
  <si>
    <t>05/2031</t>
  </si>
  <si>
    <t>06/2031</t>
  </si>
  <si>
    <t>07/2031</t>
  </si>
  <si>
    <t>08/2031</t>
  </si>
  <si>
    <t>09/2031</t>
  </si>
  <si>
    <t>Novo Financiamento com IPCA Exigível</t>
  </si>
  <si>
    <t>10/2031</t>
  </si>
  <si>
    <t>https://www.ibge.gov.br/estatisticas/economicas/precos-e-custos/9258-indice-nacional-de-precos-ao-consumidor.html?=&amp;t=downloads\inc_SeriesHist.zip</t>
  </si>
  <si>
    <t>11/2031</t>
  </si>
  <si>
    <t>12/2031</t>
  </si>
  <si>
    <t>2032</t>
  </si>
  <si>
    <t>01/2032</t>
  </si>
  <si>
    <t>2032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</si>
</sst>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00"/>
    <numFmt numFmtId="165" formatCode="dd/mm/yy"/>
    <numFmt numFmtId="166" formatCode="#,##0.000000_);\(#,##0.000000\)"/>
    <numFmt numFmtId="167" formatCode="_([$€]* #,##0.00_);_([$€]* \(#,##0.00\);_([$€]* &quot;-&quot;??_);_(@_)"/>
    <numFmt numFmtId="168" formatCode="#,##0.00_ ;\-#,##0.00\ "/>
    <numFmt numFmtId="169" formatCode="0.00000000"/>
    <numFmt numFmtId="170" formatCode="_-* #,##0_-;\-* #,##0_-;_-* &quot;-&quot;??_-;_-@_-"/>
    <numFmt numFmtId="171" formatCode="_-* #,##0.0000_-;\-* #,##0.0000_-;_-* &quot;-&quot;??_-;_-@_-"/>
    <numFmt numFmtId="172" formatCode="0.000000"/>
    <numFmt numFmtId="173" formatCode="#,##0_ ;\-#,##0\ "/>
    <numFmt numFmtId="174" formatCode="_-* #,##0.00000_-;\-* #,##0.00000_-;_-* &quot;-&quot;??_-;_-@_-"/>
  </numFmts>
  <fonts count="29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b/>
      <sz val="12"/>
      <name val="Courier New"/>
      <family val="3"/>
    </font>
    <font>
      <sz val="12"/>
      <name val="Courier New"/>
      <family val="3"/>
    </font>
    <font>
      <sz val="8"/>
      <name val="Courier New"/>
      <family val="3"/>
    </font>
    <font>
      <b/>
      <sz val="10"/>
      <name val="Courier New"/>
      <family val="3"/>
    </font>
    <font>
      <b/>
      <sz val="8"/>
      <name val="Courier New"/>
      <family val="3"/>
    </font>
    <font>
      <u/>
      <sz val="10"/>
      <color theme="10"/>
      <name val="Arial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color theme="0"/>
      <name val="Times New Roman"/>
      <family val="1"/>
    </font>
    <font>
      <sz val="8"/>
      <color theme="1"/>
      <name val="Comic Sans MS"/>
      <family val="4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trike/>
      <sz val="10"/>
      <name val="Arial"/>
      <family val="2"/>
    </font>
    <font>
      <sz val="14"/>
      <color theme="1"/>
      <name val="Comic Sans MS"/>
      <family val="4"/>
    </font>
    <font>
      <sz val="8"/>
      <name val="Times New Roman"/>
      <family val="1"/>
    </font>
    <font>
      <b/>
      <sz val="9"/>
      <color indexed="81"/>
      <name val="Tahoma"/>
      <family val="2"/>
    </font>
    <font>
      <b/>
      <sz val="13"/>
      <name val="Arial"/>
      <family val="2"/>
    </font>
    <font>
      <sz val="10"/>
      <name val="Arial Unicode MS"/>
      <family val="2"/>
    </font>
    <font>
      <b/>
      <sz val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7" fontId="1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9" fontId="21" fillId="0" borderId="0" applyFont="0" applyFill="0" applyBorder="0" applyAlignment="0" applyProtection="0"/>
  </cellStyleXfs>
  <cellXfs count="22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wrapText="1"/>
    </xf>
    <xf numFmtId="0" fontId="5" fillId="0" borderId="0" xfId="0" applyFont="1"/>
    <xf numFmtId="0" fontId="5" fillId="3" borderId="6" xfId="0" applyFont="1" applyFill="1" applyBorder="1" applyAlignment="1">
      <alignment horizontal="center" vertical="center" wrapText="1"/>
    </xf>
    <xf numFmtId="0" fontId="0" fillId="0" borderId="0" xfId="0"/>
    <xf numFmtId="4" fontId="8" fillId="0" borderId="0" xfId="0" applyNumberFormat="1" applyFont="1"/>
    <xf numFmtId="0" fontId="9" fillId="0" borderId="9" xfId="0" applyFont="1" applyBorder="1"/>
    <xf numFmtId="4" fontId="9" fillId="0" borderId="9" xfId="0" applyNumberFormat="1" applyFont="1" applyBorder="1" applyAlignment="1">
      <alignment horizontal="right"/>
    </xf>
    <xf numFmtId="0" fontId="9" fillId="0" borderId="0" xfId="0" applyFont="1" applyBorder="1"/>
    <xf numFmtId="0" fontId="10" fillId="0" borderId="10" xfId="0" applyFont="1" applyBorder="1"/>
    <xf numFmtId="0" fontId="10" fillId="0" borderId="0" xfId="0" applyFont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9" fillId="0" borderId="10" xfId="0" applyFont="1" applyBorder="1"/>
    <xf numFmtId="4" fontId="9" fillId="0" borderId="0" xfId="0" applyNumberFormat="1" applyFont="1" applyBorder="1" applyAlignment="1">
      <alignment horizontal="right"/>
    </xf>
    <xf numFmtId="49" fontId="11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9" xfId="0" applyNumberFormat="1" applyFont="1" applyBorder="1"/>
    <xf numFmtId="2" fontId="10" fillId="0" borderId="0" xfId="0" applyNumberFormat="1" applyFont="1"/>
    <xf numFmtId="2" fontId="10" fillId="0" borderId="11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2" fontId="10" fillId="0" borderId="12" xfId="0" applyNumberFormat="1" applyFont="1" applyBorder="1" applyAlignment="1">
      <alignment horizontal="center"/>
    </xf>
    <xf numFmtId="2" fontId="11" fillId="0" borderId="10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2" fontId="9" fillId="0" borderId="3" xfId="0" applyNumberFormat="1" applyFont="1" applyBorder="1" applyAlignment="1">
      <alignment horizontal="right"/>
    </xf>
    <xf numFmtId="4" fontId="9" fillId="0" borderId="3" xfId="0" applyNumberFormat="1" applyFont="1" applyBorder="1" applyAlignment="1">
      <alignment horizontal="right"/>
    </xf>
    <xf numFmtId="0" fontId="11" fillId="0" borderId="0" xfId="0" applyFont="1" applyBorder="1"/>
    <xf numFmtId="0" fontId="9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0" xfId="0" applyNumberFormat="1" applyFont="1" applyAlignment="1">
      <alignment horizontal="center"/>
    </xf>
    <xf numFmtId="4" fontId="10" fillId="0" borderId="0" xfId="0" applyNumberFormat="1" applyFont="1" applyBorder="1" applyAlignment="1">
      <alignment horizontal="center"/>
    </xf>
    <xf numFmtId="4" fontId="11" fillId="0" borderId="0" xfId="0" applyNumberFormat="1" applyFont="1" applyBorder="1" applyAlignment="1">
      <alignment horizontal="center"/>
    </xf>
    <xf numFmtId="14" fontId="5" fillId="2" borderId="3" xfId="0" applyNumberFormat="1" applyFont="1" applyFill="1" applyBorder="1" applyAlignment="1">
      <alignment horizontal="center"/>
    </xf>
    <xf numFmtId="4" fontId="5" fillId="2" borderId="7" xfId="0" applyNumberFormat="1" applyFont="1" applyFill="1" applyBorder="1" applyAlignment="1">
      <alignment horizontal="center"/>
    </xf>
    <xf numFmtId="4" fontId="8" fillId="0" borderId="0" xfId="0" applyNumberFormat="1" applyFont="1" applyBorder="1"/>
    <xf numFmtId="4" fontId="10" fillId="0" borderId="0" xfId="0" applyNumberFormat="1" applyFont="1" applyBorder="1"/>
    <xf numFmtId="0" fontId="0" fillId="0" borderId="0" xfId="0" applyBorder="1"/>
    <xf numFmtId="0" fontId="12" fillId="0" borderId="0" xfId="4" applyBorder="1"/>
    <xf numFmtId="2" fontId="9" fillId="0" borderId="0" xfId="0" applyNumberFormat="1" applyFont="1" applyBorder="1" applyAlignment="1">
      <alignment horizontal="right"/>
    </xf>
    <xf numFmtId="0" fontId="0" fillId="0" borderId="0" xfId="0" quotePrefix="1"/>
    <xf numFmtId="0" fontId="10" fillId="0" borderId="20" xfId="0" applyFont="1" applyBorder="1"/>
    <xf numFmtId="0" fontId="10" fillId="0" borderId="19" xfId="0" applyFont="1" applyBorder="1"/>
    <xf numFmtId="4" fontId="10" fillId="0" borderId="19" xfId="0" applyNumberFormat="1" applyFont="1" applyBorder="1"/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4" fontId="10" fillId="0" borderId="13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168" fontId="5" fillId="0" borderId="6" xfId="3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43" fontId="4" fillId="0" borderId="6" xfId="3" applyFont="1" applyBorder="1"/>
    <xf numFmtId="4" fontId="5" fillId="0" borderId="6" xfId="0" applyNumberFormat="1" applyFont="1" applyBorder="1"/>
    <xf numFmtId="0" fontId="5" fillId="0" borderId="6" xfId="0" applyFont="1" applyBorder="1"/>
    <xf numFmtId="169" fontId="5" fillId="0" borderId="6" xfId="0" applyNumberFormat="1" applyFont="1" applyBorder="1"/>
    <xf numFmtId="170" fontId="5" fillId="0" borderId="0" xfId="3" applyNumberFormat="1" applyFont="1"/>
    <xf numFmtId="170" fontId="5" fillId="0" borderId="6" xfId="3" applyNumberFormat="1" applyFont="1" applyBorder="1"/>
    <xf numFmtId="165" fontId="5" fillId="7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14" fontId="4" fillId="0" borderId="5" xfId="0" applyNumberFormat="1" applyFont="1" applyBorder="1" applyAlignment="1">
      <alignment horizontal="center"/>
    </xf>
    <xf numFmtId="0" fontId="5" fillId="0" borderId="5" xfId="0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4" fillId="7" borderId="6" xfId="3" applyFont="1" applyFill="1" applyBorder="1"/>
    <xf numFmtId="0" fontId="14" fillId="7" borderId="6" xfId="0" applyFont="1" applyFill="1" applyBorder="1"/>
    <xf numFmtId="0" fontId="3" fillId="7" borderId="23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4" fontId="0" fillId="0" borderId="0" xfId="0" applyNumberFormat="1"/>
    <xf numFmtId="4" fontId="0" fillId="0" borderId="0" xfId="0" applyNumberFormat="1"/>
    <xf numFmtId="0" fontId="5" fillId="2" borderId="6" xfId="0" applyFont="1" applyFill="1" applyBorder="1" applyAlignment="1">
      <alignment horizontal="center"/>
    </xf>
    <xf numFmtId="14" fontId="5" fillId="2" borderId="7" xfId="0" applyNumberFormat="1" applyFont="1" applyFill="1" applyBorder="1" applyAlignment="1" applyProtection="1">
      <alignment horizontal="center"/>
    </xf>
    <xf numFmtId="14" fontId="5" fillId="2" borderId="5" xfId="0" applyNumberFormat="1" applyFont="1" applyFill="1" applyBorder="1" applyAlignment="1" applyProtection="1">
      <alignment horizontal="center"/>
    </xf>
    <xf numFmtId="0" fontId="3" fillId="8" borderId="6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43" fontId="5" fillId="0" borderId="0" xfId="3" applyFont="1"/>
    <xf numFmtId="170" fontId="3" fillId="0" borderId="0" xfId="3" applyNumberFormat="1" applyFont="1" applyAlignment="1">
      <alignment horizontal="center" wrapText="1"/>
    </xf>
    <xf numFmtId="170" fontId="3" fillId="0" borderId="0" xfId="3" applyNumberFormat="1" applyFont="1"/>
    <xf numFmtId="0" fontId="15" fillId="0" borderId="0" xfId="0" applyFont="1"/>
    <xf numFmtId="0" fontId="16" fillId="11" borderId="1" xfId="0" applyFont="1" applyFill="1" applyBorder="1" applyAlignment="1">
      <alignment wrapText="1"/>
    </xf>
    <xf numFmtId="0" fontId="3" fillId="0" borderId="0" xfId="0" applyFont="1" applyAlignment="1">
      <alignment horizontal="left" wrapText="1"/>
    </xf>
    <xf numFmtId="166" fontId="4" fillId="7" borderId="5" xfId="0" applyNumberFormat="1" applyFont="1" applyFill="1" applyBorder="1" applyAlignment="1"/>
    <xf numFmtId="14" fontId="4" fillId="9" borderId="5" xfId="0" applyNumberFormat="1" applyFont="1" applyFill="1" applyBorder="1" applyAlignment="1" applyProtection="1">
      <alignment horizontal="center"/>
      <protection locked="0"/>
    </xf>
    <xf numFmtId="166" fontId="4" fillId="9" borderId="5" xfId="0" applyNumberFormat="1" applyFont="1" applyFill="1" applyBorder="1" applyAlignment="1" applyProtection="1">
      <protection locked="0"/>
    </xf>
    <xf numFmtId="0" fontId="2" fillId="9" borderId="6" xfId="0" applyFont="1" applyFill="1" applyBorder="1" applyAlignment="1" applyProtection="1">
      <alignment horizontal="center" wrapText="1"/>
      <protection locked="0"/>
    </xf>
    <xf numFmtId="0" fontId="2" fillId="9" borderId="6" xfId="0" quotePrefix="1" applyFont="1" applyFill="1" applyBorder="1" applyAlignment="1" applyProtection="1">
      <alignment horizontal="center" wrapText="1"/>
      <protection locked="0"/>
    </xf>
    <xf numFmtId="172" fontId="2" fillId="9" borderId="1" xfId="0" applyNumberFormat="1" applyFont="1" applyFill="1" applyBorder="1" applyAlignment="1" applyProtection="1">
      <protection locked="0"/>
    </xf>
    <xf numFmtId="43" fontId="0" fillId="0" borderId="0" xfId="3" applyFont="1"/>
    <xf numFmtId="0" fontId="11" fillId="0" borderId="28" xfId="0" applyFont="1" applyBorder="1" applyAlignment="1">
      <alignment horizontal="center"/>
    </xf>
    <xf numFmtId="2" fontId="9" fillId="9" borderId="29" xfId="0" applyNumberFormat="1" applyFont="1" applyFill="1" applyBorder="1" applyAlignment="1">
      <alignment horizontal="right"/>
    </xf>
    <xf numFmtId="2" fontId="9" fillId="9" borderId="7" xfId="0" applyNumberFormat="1" applyFont="1" applyFill="1" applyBorder="1" applyAlignment="1">
      <alignment horizontal="right"/>
    </xf>
    <xf numFmtId="2" fontId="9" fillId="9" borderId="7" xfId="0" applyNumberFormat="1" applyFont="1" applyFill="1" applyBorder="1" applyAlignment="1" applyProtection="1">
      <alignment horizontal="right"/>
      <protection locked="0"/>
    </xf>
    <xf numFmtId="0" fontId="2" fillId="6" borderId="26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2" fontId="9" fillId="0" borderId="3" xfId="6" applyNumberFormat="1" applyFont="1" applyBorder="1" applyAlignment="1">
      <alignment horizontal="right"/>
    </xf>
    <xf numFmtId="4" fontId="9" fillId="0" borderId="3" xfId="6" applyNumberFormat="1" applyFont="1" applyBorder="1" applyAlignment="1">
      <alignment horizontal="right"/>
    </xf>
    <xf numFmtId="2" fontId="9" fillId="9" borderId="7" xfId="0" applyNumberFormat="1" applyFont="1" applyFill="1" applyBorder="1" applyAlignment="1" applyProtection="1">
      <alignment horizontal="right"/>
    </xf>
    <xf numFmtId="0" fontId="4" fillId="0" borderId="0" xfId="0" applyFont="1" applyAlignment="1">
      <alignment horizontal="right" vertical="top"/>
    </xf>
    <xf numFmtId="0" fontId="14" fillId="0" borderId="0" xfId="0" applyFont="1" applyAlignment="1">
      <alignment horizontal="right"/>
    </xf>
    <xf numFmtId="0" fontId="0" fillId="0" borderId="6" xfId="0" applyBorder="1"/>
    <xf numFmtId="0" fontId="0" fillId="0" borderId="6" xfId="0" pivotButton="1" applyBorder="1"/>
    <xf numFmtId="0" fontId="0" fillId="0" borderId="6" xfId="0" applyBorder="1" applyAlignment="1">
      <alignment horizontal="right"/>
    </xf>
    <xf numFmtId="0" fontId="0" fillId="0" borderId="6" xfId="0" applyBorder="1" applyAlignment="1">
      <alignment horizontal="left"/>
    </xf>
    <xf numFmtId="4" fontId="0" fillId="0" borderId="6" xfId="0" applyNumberFormat="1" applyBorder="1"/>
    <xf numFmtId="4" fontId="0" fillId="0" borderId="5" xfId="0" applyNumberFormat="1" applyBorder="1"/>
    <xf numFmtId="0" fontId="0" fillId="0" borderId="5" xfId="0" applyBorder="1"/>
    <xf numFmtId="44" fontId="0" fillId="0" borderId="0" xfId="0" applyNumberFormat="1" applyAlignment="1"/>
    <xf numFmtId="0" fontId="18" fillId="0" borderId="0" xfId="0" applyFont="1"/>
    <xf numFmtId="0" fontId="14" fillId="0" borderId="0" xfId="0" applyFont="1"/>
    <xf numFmtId="14" fontId="18" fillId="0" borderId="0" xfId="0" applyNumberFormat="1" applyFont="1"/>
    <xf numFmtId="173" fontId="9" fillId="0" borderId="0" xfId="3" applyNumberFormat="1" applyFont="1" applyBorder="1" applyAlignment="1">
      <alignment horizontal="center"/>
    </xf>
    <xf numFmtId="168" fontId="9" fillId="0" borderId="3" xfId="3" applyNumberFormat="1" applyFont="1" applyBorder="1" applyAlignment="1">
      <alignment horizontal="right"/>
    </xf>
    <xf numFmtId="1" fontId="18" fillId="0" borderId="0" xfId="0" applyNumberFormat="1" applyFont="1"/>
    <xf numFmtId="0" fontId="15" fillId="11" borderId="0" xfId="0" applyFont="1" applyFill="1"/>
    <xf numFmtId="0" fontId="0" fillId="0" borderId="7" xfId="0" applyBorder="1"/>
    <xf numFmtId="0" fontId="1" fillId="0" borderId="7" xfId="0" applyFont="1" applyBorder="1"/>
    <xf numFmtId="49" fontId="0" fillId="0" borderId="5" xfId="0" applyNumberFormat="1" applyBorder="1"/>
    <xf numFmtId="0" fontId="1" fillId="0" borderId="0" xfId="0" applyFont="1"/>
    <xf numFmtId="10" fontId="0" fillId="0" borderId="0" xfId="0" applyNumberFormat="1"/>
    <xf numFmtId="10" fontId="4" fillId="7" borderId="5" xfId="7" applyNumberFormat="1" applyFont="1" applyFill="1" applyBorder="1" applyAlignment="1"/>
    <xf numFmtId="10" fontId="2" fillId="9" borderId="6" xfId="7" applyNumberFormat="1" applyFont="1" applyFill="1" applyBorder="1" applyAlignment="1" applyProtection="1">
      <alignment horizontal="right" vertical="center" wrapText="1"/>
      <protection locked="0"/>
    </xf>
    <xf numFmtId="43" fontId="14" fillId="10" borderId="6" xfId="3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vertical="center"/>
    </xf>
    <xf numFmtId="43" fontId="2" fillId="7" borderId="6" xfId="3" applyFont="1" applyFill="1" applyBorder="1"/>
    <xf numFmtId="0" fontId="12" fillId="0" borderId="6" xfId="4" applyBorder="1" applyAlignment="1" applyProtection="1"/>
    <xf numFmtId="43" fontId="9" fillId="0" borderId="0" xfId="3" applyFont="1" applyBorder="1" applyAlignment="1">
      <alignment horizontal="right"/>
    </xf>
    <xf numFmtId="43" fontId="0" fillId="0" borderId="0" xfId="0" applyNumberFormat="1"/>
    <xf numFmtId="171" fontId="0" fillId="0" borderId="0" xfId="0" applyNumberFormat="1"/>
    <xf numFmtId="43" fontId="9" fillId="0" borderId="3" xfId="3" applyFont="1" applyBorder="1" applyAlignment="1">
      <alignment horizontal="right"/>
    </xf>
    <xf numFmtId="2" fontId="9" fillId="13" borderId="7" xfId="0" applyNumberFormat="1" applyFont="1" applyFill="1" applyBorder="1" applyAlignment="1" applyProtection="1">
      <alignment horizontal="right"/>
      <protection locked="0"/>
    </xf>
    <xf numFmtId="165" fontId="4" fillId="4" borderId="23" xfId="0" applyNumberFormat="1" applyFont="1" applyFill="1" applyBorder="1" applyAlignment="1">
      <alignment vertical="center" wrapText="1"/>
    </xf>
    <xf numFmtId="165" fontId="4" fillId="4" borderId="7" xfId="0" applyNumberFormat="1" applyFont="1" applyFill="1" applyBorder="1" applyAlignment="1">
      <alignment vertical="center" wrapText="1"/>
    </xf>
    <xf numFmtId="165" fontId="4" fillId="4" borderId="5" xfId="0" applyNumberFormat="1" applyFont="1" applyFill="1" applyBorder="1" applyAlignment="1">
      <alignment vertical="center" wrapText="1"/>
    </xf>
    <xf numFmtId="165" fontId="4" fillId="7" borderId="23" xfId="0" applyNumberFormat="1" applyFont="1" applyFill="1" applyBorder="1" applyAlignment="1">
      <alignment vertical="center" wrapText="1"/>
    </xf>
    <xf numFmtId="165" fontId="4" fillId="7" borderId="7" xfId="0" applyNumberFormat="1" applyFont="1" applyFill="1" applyBorder="1" applyAlignment="1">
      <alignment vertical="center" wrapText="1"/>
    </xf>
    <xf numFmtId="0" fontId="3" fillId="7" borderId="24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165" fontId="5" fillId="7" borderId="4" xfId="0" applyNumberFormat="1" applyFont="1" applyFill="1" applyBorder="1" applyAlignment="1">
      <alignment horizontal="center" vertical="center" wrapText="1"/>
    </xf>
    <xf numFmtId="165" fontId="4" fillId="7" borderId="24" xfId="0" applyNumberFormat="1" applyFont="1" applyFill="1" applyBorder="1" applyAlignment="1">
      <alignment vertical="center" wrapText="1"/>
    </xf>
    <xf numFmtId="165" fontId="4" fillId="7" borderId="3" xfId="0" applyNumberFormat="1" applyFont="1" applyFill="1" applyBorder="1" applyAlignment="1">
      <alignment vertical="center" wrapText="1"/>
    </xf>
    <xf numFmtId="0" fontId="4" fillId="6" borderId="23" xfId="0" applyFont="1" applyFill="1" applyBorder="1" applyAlignment="1">
      <alignment vertical="center" wrapText="1"/>
    </xf>
    <xf numFmtId="0" fontId="4" fillId="6" borderId="7" xfId="0" applyFont="1" applyFill="1" applyBorder="1" applyAlignment="1">
      <alignment vertical="center" wrapText="1"/>
    </xf>
    <xf numFmtId="0" fontId="4" fillId="3" borderId="23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165" fontId="4" fillId="4" borderId="24" xfId="0" applyNumberFormat="1" applyFont="1" applyFill="1" applyBorder="1" applyAlignment="1">
      <alignment vertical="center" wrapText="1"/>
    </xf>
    <xf numFmtId="165" fontId="4" fillId="4" borderId="3" xfId="0" applyNumberFormat="1" applyFont="1" applyFill="1" applyBorder="1" applyAlignment="1">
      <alignment vertical="center" wrapText="1"/>
    </xf>
    <xf numFmtId="165" fontId="4" fillId="4" borderId="4" xfId="0" applyNumberFormat="1" applyFont="1" applyFill="1" applyBorder="1" applyAlignment="1">
      <alignment vertical="center" wrapText="1"/>
    </xf>
    <xf numFmtId="14" fontId="5" fillId="0" borderId="5" xfId="0" applyNumberFormat="1" applyFont="1" applyBorder="1" applyAlignment="1">
      <alignment horizontal="center"/>
    </xf>
    <xf numFmtId="170" fontId="5" fillId="0" borderId="5" xfId="3" applyNumberFormat="1" applyFont="1" applyBorder="1"/>
    <xf numFmtId="43" fontId="3" fillId="0" borderId="0" xfId="0" applyNumberFormat="1" applyFont="1"/>
    <xf numFmtId="14" fontId="24" fillId="0" borderId="0" xfId="0" applyNumberFormat="1" applyFont="1" applyAlignment="1">
      <alignment vertical="top"/>
    </xf>
    <xf numFmtId="43" fontId="9" fillId="0" borderId="10" xfId="3" applyFont="1" applyBorder="1" applyAlignment="1">
      <alignment horizontal="right"/>
    </xf>
    <xf numFmtId="43" fontId="1" fillId="0" borderId="6" xfId="3" applyFont="1" applyBorder="1"/>
    <xf numFmtId="165" fontId="4" fillId="7" borderId="4" xfId="0" applyNumberFormat="1" applyFont="1" applyFill="1" applyBorder="1" applyAlignment="1">
      <alignment horizontal="center" vertical="center" wrapText="1"/>
    </xf>
    <xf numFmtId="170" fontId="1" fillId="0" borderId="6" xfId="3" applyNumberFormat="1" applyFont="1" applyBorder="1" applyAlignment="1">
      <alignment horizontal="center"/>
    </xf>
    <xf numFmtId="0" fontId="15" fillId="0" borderId="5" xfId="0" applyNumberFormat="1" applyFont="1" applyBorder="1" applyAlignment="1">
      <alignment horizontal="center"/>
    </xf>
    <xf numFmtId="171" fontId="2" fillId="7" borderId="6" xfId="3" applyNumberFormat="1" applyFont="1" applyFill="1" applyBorder="1" applyAlignment="1" applyProtection="1">
      <alignment horizontal="center" vertical="center" wrapText="1"/>
    </xf>
    <xf numFmtId="174" fontId="4" fillId="7" borderId="5" xfId="3" applyNumberFormat="1" applyFont="1" applyFill="1" applyBorder="1" applyAlignment="1"/>
    <xf numFmtId="14" fontId="27" fillId="0" borderId="0" xfId="0" applyNumberFormat="1" applyFont="1" applyAlignment="1">
      <alignment vertical="center"/>
    </xf>
    <xf numFmtId="0" fontId="1" fillId="0" borderId="0" xfId="0" applyFont="1" applyAlignment="1">
      <alignment horizontal="right"/>
    </xf>
    <xf numFmtId="0" fontId="27" fillId="0" borderId="0" xfId="0" applyFont="1" applyAlignment="1">
      <alignment horizontal="center" vertical="center"/>
    </xf>
    <xf numFmtId="3" fontId="15" fillId="0" borderId="0" xfId="0" applyNumberFormat="1" applyFont="1" applyAlignment="1">
      <alignment horizontal="right"/>
    </xf>
    <xf numFmtId="0" fontId="12" fillId="0" borderId="0" xfId="4"/>
    <xf numFmtId="0" fontId="4" fillId="6" borderId="5" xfId="0" applyFont="1" applyFill="1" applyBorder="1" applyAlignment="1">
      <alignment horizontal="center" vertical="center" wrapText="1"/>
    </xf>
    <xf numFmtId="165" fontId="4" fillId="7" borderId="5" xfId="0" applyNumberFormat="1" applyFont="1" applyFill="1" applyBorder="1" applyAlignment="1">
      <alignment horizontal="right" vertical="center" wrapText="1"/>
    </xf>
    <xf numFmtId="165" fontId="4" fillId="7" borderId="4" xfId="0" applyNumberFormat="1" applyFont="1" applyFill="1" applyBorder="1" applyAlignment="1">
      <alignment horizontal="right" vertical="center" wrapText="1"/>
    </xf>
    <xf numFmtId="0" fontId="0" fillId="0" borderId="1" xfId="0" applyBorder="1"/>
    <xf numFmtId="0" fontId="0" fillId="0" borderId="30" xfId="0" applyBorder="1"/>
    <xf numFmtId="168" fontId="0" fillId="0" borderId="0" xfId="0" applyNumberFormat="1" applyAlignment="1">
      <alignment horizontal="right"/>
    </xf>
    <xf numFmtId="44" fontId="1" fillId="0" borderId="0" xfId="0" applyNumberFormat="1" applyFont="1" applyAlignment="1">
      <alignment horizontal="left"/>
    </xf>
    <xf numFmtId="0" fontId="14" fillId="0" borderId="0" xfId="0" applyFont="1" applyBorder="1"/>
    <xf numFmtId="0" fontId="19" fillId="0" borderId="0" xfId="0" applyFont="1" applyBorder="1"/>
    <xf numFmtId="168" fontId="0" fillId="0" borderId="0" xfId="0" applyNumberFormat="1" applyBorder="1" applyAlignment="1">
      <alignment horizontal="right"/>
    </xf>
    <xf numFmtId="44" fontId="1" fillId="0" borderId="0" xfId="0" applyNumberFormat="1" applyFont="1" applyBorder="1" applyAlignment="1">
      <alignment horizontal="left"/>
    </xf>
    <xf numFmtId="0" fontId="0" fillId="0" borderId="2" xfId="0" applyBorder="1"/>
    <xf numFmtId="174" fontId="0" fillId="0" borderId="0" xfId="0" applyNumberFormat="1"/>
    <xf numFmtId="0" fontId="0" fillId="0" borderId="1" xfId="0" pivotButton="1" applyBorder="1"/>
    <xf numFmtId="0" fontId="0" fillId="0" borderId="30" xfId="0" pivotButton="1" applyBorder="1"/>
    <xf numFmtId="0" fontId="0" fillId="0" borderId="26" xfId="0" applyBorder="1"/>
    <xf numFmtId="0" fontId="0" fillId="0" borderId="5" xfId="0" applyBorder="1" applyAlignment="1">
      <alignment horizontal="left"/>
    </xf>
    <xf numFmtId="0" fontId="0" fillId="0" borderId="0" xfId="0" pivotButton="1"/>
    <xf numFmtId="0" fontId="22" fillId="0" borderId="0" xfId="0" applyFont="1" applyAlignment="1">
      <alignment horizontal="right"/>
    </xf>
    <xf numFmtId="4" fontId="4" fillId="0" borderId="0" xfId="0" applyNumberFormat="1" applyFont="1" applyProtection="1">
      <protection locked="0"/>
    </xf>
    <xf numFmtId="43" fontId="14" fillId="7" borderId="24" xfId="3" applyFont="1" applyFill="1" applyBorder="1" applyAlignment="1">
      <alignment horizontal="center" vertical="center" wrapText="1"/>
    </xf>
    <xf numFmtId="43" fontId="14" fillId="7" borderId="18" xfId="3" applyFont="1" applyFill="1" applyBorder="1" applyAlignment="1">
      <alignment horizontal="center" vertical="center" wrapText="1"/>
    </xf>
    <xf numFmtId="43" fontId="14" fillId="7" borderId="3" xfId="3" applyFont="1" applyFill="1" applyBorder="1" applyAlignment="1">
      <alignment horizontal="center" vertical="center" wrapText="1"/>
    </xf>
    <xf numFmtId="43" fontId="14" fillId="7" borderId="8" xfId="3" applyFont="1" applyFill="1" applyBorder="1" applyAlignment="1">
      <alignment horizontal="center" vertical="center" wrapText="1"/>
    </xf>
    <xf numFmtId="43" fontId="14" fillId="7" borderId="4" xfId="3" applyFont="1" applyFill="1" applyBorder="1" applyAlignment="1">
      <alignment horizontal="center" vertical="center" wrapText="1"/>
    </xf>
    <xf numFmtId="43" fontId="14" fillId="7" borderId="26" xfId="3" applyFont="1" applyFill="1" applyBorder="1" applyAlignment="1">
      <alignment horizontal="center" vertical="center" wrapText="1"/>
    </xf>
    <xf numFmtId="0" fontId="20" fillId="9" borderId="6" xfId="0" applyFont="1" applyFill="1" applyBorder="1" applyAlignment="1" applyProtection="1">
      <alignment horizontal="left" vertical="center"/>
      <protection locked="0"/>
    </xf>
    <xf numFmtId="0" fontId="26" fillId="12" borderId="6" xfId="0" applyFont="1" applyFill="1" applyBorder="1" applyAlignment="1" applyProtection="1">
      <alignment horizontal="center" vertical="center"/>
    </xf>
    <xf numFmtId="43" fontId="14" fillId="7" borderId="23" xfId="3" applyFont="1" applyFill="1" applyBorder="1" applyAlignment="1">
      <alignment horizontal="center" vertical="center" wrapText="1"/>
    </xf>
    <xf numFmtId="43" fontId="14" fillId="7" borderId="7" xfId="3" applyFont="1" applyFill="1" applyBorder="1" applyAlignment="1">
      <alignment horizontal="center" vertical="center" wrapText="1"/>
    </xf>
    <xf numFmtId="43" fontId="14" fillId="7" borderId="5" xfId="3" applyFont="1" applyFill="1" applyBorder="1" applyAlignment="1">
      <alignment horizontal="center" vertical="center" wrapText="1"/>
    </xf>
    <xf numFmtId="0" fontId="23" fillId="10" borderId="24" xfId="0" applyFont="1" applyFill="1" applyBorder="1" applyAlignment="1">
      <alignment horizontal="center" vertical="center" wrapText="1"/>
    </xf>
    <xf numFmtId="0" fontId="23" fillId="10" borderId="27" xfId="0" applyFont="1" applyFill="1" applyBorder="1" applyAlignment="1">
      <alignment horizontal="center" vertical="center" wrapText="1"/>
    </xf>
    <xf numFmtId="0" fontId="23" fillId="10" borderId="2" xfId="0" applyFont="1" applyFill="1" applyBorder="1" applyAlignment="1">
      <alignment horizontal="center" vertical="center" wrapText="1"/>
    </xf>
    <xf numFmtId="0" fontId="23" fillId="10" borderId="18" xfId="0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center"/>
    </xf>
    <xf numFmtId="0" fontId="2" fillId="6" borderId="27" xfId="0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/>
    </xf>
    <xf numFmtId="164" fontId="4" fillId="3" borderId="27" xfId="0" applyNumberFormat="1" applyFont="1" applyFill="1" applyBorder="1" applyAlignment="1">
      <alignment horizontal="center"/>
    </xf>
    <xf numFmtId="0" fontId="4" fillId="5" borderId="2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right"/>
    </xf>
    <xf numFmtId="0" fontId="14" fillId="0" borderId="0" xfId="0" applyFont="1" applyAlignment="1">
      <alignment horizontal="left"/>
    </xf>
    <xf numFmtId="168" fontId="0" fillId="0" borderId="0" xfId="0" applyNumberFormat="1" applyBorder="1" applyAlignment="1"/>
    <xf numFmtId="0" fontId="28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4" fontId="4" fillId="2" borderId="3" xfId="0" applyNumberFormat="1" applyFont="1" applyFill="1" applyBorder="1" applyAlignment="1">
      <alignment horizontal="center"/>
    </xf>
    <xf numFmtId="4" fontId="4" fillId="2" borderId="8" xfId="0" applyNumberFormat="1" applyFont="1" applyFill="1" applyBorder="1" applyAlignment="1">
      <alignment horizontal="center"/>
    </xf>
  </cellXfs>
  <cellStyles count="8">
    <cellStyle name="Euro" xfId="1" xr:uid="{00000000-0005-0000-0000-000000000000}"/>
    <cellStyle name="Hiperlink" xfId="4" builtinId="8"/>
    <cellStyle name="Normal" xfId="0" builtinId="0"/>
    <cellStyle name="Normal 2" xfId="2" xr:uid="{00000000-0005-0000-0000-000003000000}"/>
    <cellStyle name="Normal_ipca_201707SerieHist" xfId="6" xr:uid="{00000000-0005-0000-0000-000004000000}"/>
    <cellStyle name="Porcentagem" xfId="7" builtinId="5"/>
    <cellStyle name="Vírgula" xfId="3" builtinId="3"/>
    <cellStyle name="Vírgula 2" xfId="5" xr:uid="{00000000-0005-0000-0000-000007000000}"/>
  </cellStyles>
  <dxfs count="23">
    <dxf>
      <border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</border>
    </dxf>
    <dxf>
      <border>
        <horizontal/>
      </border>
    </dxf>
    <dxf>
      <border>
        <right style="thin">
          <color indexed="64"/>
        </right>
        <top style="thin">
          <color indexed="64"/>
        </top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horizontal style="thin">
          <color indexed="64"/>
        </horizontal>
      </border>
    </dxf>
    <dxf>
      <numFmt numFmtId="4" formatCode="#,##0.0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readingOrder="0"/>
    </dxf>
    <dxf>
      <alignment horizontal="right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</dxfs>
  <tableStyles count="0" defaultTableStyle="TableStyleMedium2" defaultPivotStyle="PivotStyleLight16"/>
  <colors>
    <mruColors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144780</xdr:colOff>
      <xdr:row>6</xdr:row>
      <xdr:rowOff>30480</xdr:rowOff>
    </xdr:from>
    <xdr:to>
      <xdr:col>15</xdr:col>
      <xdr:colOff>0</xdr:colOff>
      <xdr:row>40</xdr:row>
      <xdr:rowOff>144780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6A0F135-4357-4D4C-AA17-1A1DA578D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6080" y="1127760"/>
          <a:ext cx="4998720" cy="5814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982980</xdr:colOff>
      <xdr:row>16</xdr:row>
      <xdr:rowOff>114300</xdr:rowOff>
    </xdr:from>
    <xdr:to>
      <xdr:col>14</xdr:col>
      <xdr:colOff>1760220</xdr:colOff>
      <xdr:row>18</xdr:row>
      <xdr:rowOff>38100</xdr:rowOff>
    </xdr:to>
    <xdr:sp macro="" textlink="">
      <xdr:nvSpPr>
        <xdr:cNvPr id="3" name="Seta: para a Direita 2">
          <a:extLst>
            <a:ext uri="{FF2B5EF4-FFF2-40B4-BE49-F238E27FC236}">
              <a16:creationId xmlns:a16="http://schemas.microsoft.com/office/drawing/2014/main" id="{9F306BD5-68C5-48EF-8A01-47D31CE4BE11}"/>
            </a:ext>
          </a:extLst>
        </xdr:cNvPr>
        <xdr:cNvSpPr/>
      </xdr:nvSpPr>
      <xdr:spPr>
        <a:xfrm flipH="1">
          <a:off x="7574280" y="2887980"/>
          <a:ext cx="777240" cy="2590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14</xdr:col>
      <xdr:colOff>4015740</xdr:colOff>
      <xdr:row>40</xdr:row>
      <xdr:rowOff>7620</xdr:rowOff>
    </xdr:from>
    <xdr:to>
      <xdr:col>14</xdr:col>
      <xdr:colOff>4442460</xdr:colOff>
      <xdr:row>40</xdr:row>
      <xdr:rowOff>144779</xdr:rowOff>
    </xdr:to>
    <xdr:sp macro="" textlink="">
      <xdr:nvSpPr>
        <xdr:cNvPr id="4" name="Seta: para a Direita 3">
          <a:extLst>
            <a:ext uri="{FF2B5EF4-FFF2-40B4-BE49-F238E27FC236}">
              <a16:creationId xmlns:a16="http://schemas.microsoft.com/office/drawing/2014/main" id="{DE6805AE-419C-494D-946C-077CAC31B350}"/>
            </a:ext>
          </a:extLst>
        </xdr:cNvPr>
        <xdr:cNvSpPr/>
      </xdr:nvSpPr>
      <xdr:spPr>
        <a:xfrm flipH="1">
          <a:off x="10607040" y="6804660"/>
          <a:ext cx="426720" cy="13715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14</xdr:col>
      <xdr:colOff>4137660</xdr:colOff>
      <xdr:row>22</xdr:row>
      <xdr:rowOff>160020</xdr:rowOff>
    </xdr:from>
    <xdr:to>
      <xdr:col>14</xdr:col>
      <xdr:colOff>4610100</xdr:colOff>
      <xdr:row>23</xdr:row>
      <xdr:rowOff>144780</xdr:rowOff>
    </xdr:to>
    <xdr:sp macro="" textlink="">
      <xdr:nvSpPr>
        <xdr:cNvPr id="6" name="Seta: para a Esquerda 5">
          <a:extLst>
            <a:ext uri="{FF2B5EF4-FFF2-40B4-BE49-F238E27FC236}">
              <a16:creationId xmlns:a16="http://schemas.microsoft.com/office/drawing/2014/main" id="{35BF607C-DF2E-43A5-83E3-231182F54E73}"/>
            </a:ext>
          </a:extLst>
        </xdr:cNvPr>
        <xdr:cNvSpPr/>
      </xdr:nvSpPr>
      <xdr:spPr>
        <a:xfrm>
          <a:off x="10728960" y="3939540"/>
          <a:ext cx="472440" cy="1524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10</xdr:col>
      <xdr:colOff>0</xdr:colOff>
      <xdr:row>4</xdr:row>
      <xdr:rowOff>0</xdr:rowOff>
    </xdr:from>
    <xdr:to>
      <xdr:col>14</xdr:col>
      <xdr:colOff>4998720</xdr:colOff>
      <xdr:row>38</xdr:row>
      <xdr:rowOff>91440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31EA96A2-7124-45D7-BC94-9DC6663D3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739140"/>
          <a:ext cx="4998720" cy="5814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ri Magnaguagno" refreshedDate="42370.504585648145" createdVersion="4" refreshedVersion="6" minRefreshableVersion="3" recordCount="145" xr:uid="{00000000-000A-0000-FFFF-FFFF19000000}">
  <cacheSource type="worksheet">
    <worksheetSource ref="A8:S153" sheet="Simulador"/>
  </cacheSource>
  <cacheFields count="19">
    <cacheField name="Ano" numFmtId="0">
      <sharedItems count="20">
        <s v="2020"/>
        <s v="2021"/>
        <s v="2022"/>
        <s v="2023"/>
        <s v="2024"/>
        <s v="2025"/>
        <s v="2026"/>
        <s v="2027"/>
        <s v="2028"/>
        <s v="2029"/>
        <s v="2030"/>
        <s v="2031"/>
        <s v="2032"/>
        <s v="2018" u="1"/>
        <s v="2017" u="1"/>
        <s v="2016" u="1"/>
        <s v="2015" u="1"/>
        <s v="2014" u="1"/>
        <s v="2013" u="1"/>
        <s v="2019" u="1"/>
      </sharedItems>
    </cacheField>
    <cacheField name="Mês/Ano" numFmtId="0">
      <sharedItems count="225">
        <s v="01/2020"/>
        <s v="02/2020"/>
        <s v="03/2020"/>
        <s v="04/2020"/>
        <s v="05/2020"/>
        <s v="06/2020"/>
        <s v="07/2020"/>
        <s v="08/2020"/>
        <s v="09/2020"/>
        <s v="10/2020"/>
        <s v="11/2020"/>
        <s v="12/2020"/>
        <s v="01/2021"/>
        <s v="02/2021"/>
        <s v="03/2021"/>
        <s v="04/2021"/>
        <s v="05/2021"/>
        <s v="06/2021"/>
        <s v="07/2021"/>
        <s v="08/2021"/>
        <s v="09/2021"/>
        <s v="10/2021"/>
        <s v="11/2021"/>
        <s v="12/2021"/>
        <s v="01/2022"/>
        <s v="02/2022"/>
        <s v="03/2022"/>
        <s v="04/2022"/>
        <s v="05/2022"/>
        <s v="06/2022"/>
        <s v="07/2022"/>
        <s v="08/2022"/>
        <s v="09/2022"/>
        <s v="10/2022"/>
        <s v="11/2022"/>
        <s v="12/2022"/>
        <s v="01/2023"/>
        <s v="02/2023"/>
        <s v="03/2023"/>
        <s v="04/2023"/>
        <s v="05/2023"/>
        <s v="06/2023"/>
        <s v="07/2023"/>
        <s v="08/2023"/>
        <s v="09/2023"/>
        <s v="10/2023"/>
        <s v="11/2023"/>
        <s v="12/2023"/>
        <s v="01/2024"/>
        <s v="02/2024"/>
        <s v="03/2024"/>
        <s v="04/2024"/>
        <s v="05/2024"/>
        <s v="06/2024"/>
        <s v="07/2024"/>
        <s v="08/2024"/>
        <s v="09/2024"/>
        <s v="10/2024"/>
        <s v="11/2024"/>
        <s v="12/2024"/>
        <s v="01/2025"/>
        <s v="02/2025"/>
        <s v="03/2025"/>
        <s v="04/2025"/>
        <s v="05/2025"/>
        <s v="06/2025"/>
        <s v="07/2025"/>
        <s v="08/2025"/>
        <s v="09/2025"/>
        <s v="10/2025"/>
        <s v="11/2025"/>
        <s v="12/2025"/>
        <s v="01/2026"/>
        <s v="02/2026"/>
        <s v="03/2026"/>
        <s v="04/2026"/>
        <s v="05/2026"/>
        <s v="06/2026"/>
        <s v="07/2026"/>
        <s v="08/2026"/>
        <s v="09/2026"/>
        <s v="10/2026"/>
        <s v="11/2026"/>
        <s v="12/2026"/>
        <s v="01/2027"/>
        <s v="02/2027"/>
        <s v="03/2027"/>
        <s v="04/2027"/>
        <s v="05/2027"/>
        <s v="06/2027"/>
        <s v="07/2027"/>
        <s v="08/2027"/>
        <s v="09/2027"/>
        <s v="10/2027"/>
        <s v="11/2027"/>
        <s v="12/2027"/>
        <s v="01/2028"/>
        <s v="02/2028"/>
        <s v="03/2028"/>
        <s v="04/2028"/>
        <s v="05/2028"/>
        <s v="06/2028"/>
        <s v="07/2028"/>
        <s v="08/2028"/>
        <s v="09/2028"/>
        <s v="10/2028"/>
        <s v="11/2028"/>
        <s v="12/2028"/>
        <s v="01/2029"/>
        <s v="02/2029"/>
        <s v="03/2029"/>
        <s v="04/2029"/>
        <s v="05/2029"/>
        <s v="06/2029"/>
        <s v="07/2029"/>
        <s v="08/2029"/>
        <s v="09/2029"/>
        <s v="10/2029"/>
        <s v="11/2029"/>
        <s v="12/2029"/>
        <s v="01/2030"/>
        <s v="02/2030"/>
        <s v="03/2030"/>
        <s v="04/2030"/>
        <s v="05/2030"/>
        <s v="06/2030"/>
        <s v="07/2030"/>
        <s v="08/2030"/>
        <s v="09/2030"/>
        <s v="10/2030"/>
        <s v="11/2030"/>
        <s v="12/2030"/>
        <s v="01/2031"/>
        <s v="02/2031"/>
        <s v="03/2031"/>
        <s v="04/2031"/>
        <s v="05/2031"/>
        <s v="06/2031"/>
        <s v="07/2031"/>
        <s v="08/2031"/>
        <s v="09/2031"/>
        <s v="10/2031"/>
        <s v="11/2031"/>
        <s v="12/2031"/>
        <s v="01/2032"/>
        <s v="07/2014" u="1"/>
        <s v="10/2018" u="1"/>
        <s v="05/2015" u="1"/>
        <s v="03/2016" u="1"/>
        <s v="01/2017" u="1"/>
        <s v="09/2014" u="1"/>
        <s v="12/2018" u="1"/>
        <s v="07/2015" u="1"/>
        <s v="10/2019" u="1"/>
        <s v="05/2016" u="1"/>
        <s v="03/2017" u="1"/>
        <s v="01/2018" u="1"/>
        <s v="09/2015" u="1"/>
        <s v="12/2019" u="1"/>
        <s v="07/2016" u="1"/>
        <s v="05/2017" u="1"/>
        <s v="03/2018" u="1"/>
        <s v="01/2019" u="1"/>
        <s v="09/2016" u="1"/>
        <s v="07/2017" u="1"/>
        <s v="05/2018" u="1"/>
        <s v="03/2019" u="1"/>
        <s v="09/2017" u="1"/>
        <s v="07/2018" u="1"/>
        <s v="05/2019" u="1"/>
        <s v="11/2013" u="1"/>
        <s v="09/2018" u="1"/>
        <s v="07/2019" u="1"/>
        <s v="11/2014" u="1"/>
        <s v="09/2019" u="1"/>
        <s v="11/2015" u="1"/>
        <s v="02/2014" u="1"/>
        <s v="11/2016" u="1"/>
        <s v="06/2013" u="1"/>
        <s v="04/2014" u="1"/>
        <s v="02/2015" u="1"/>
        <s v="08/2013" u="1"/>
        <s v="11/2017" u="1"/>
        <s v="06/2014" u="1"/>
        <s v="04/2015" u="1"/>
        <s v="02/2016" u="1"/>
        <s v="08/2014" u="1"/>
        <s v="11/2018" u="1"/>
        <s v="06/2015" u="1"/>
        <s v="04/2016" u="1"/>
        <s v="02/2017" u="1"/>
        <s v="08/2015" u="1"/>
        <s v="11/2019" u="1"/>
        <s v="06/2016" u="1"/>
        <s v="04/2017" u="1"/>
        <s v="02/2018" u="1"/>
        <s v="08/2016" u="1"/>
        <s v="06/2017" u="1"/>
        <s v="04/2018" u="1"/>
        <s v="02/2019" u="1"/>
        <s v="08/2017" u="1"/>
        <s v="06/2018" u="1"/>
        <s v="04/2019" u="1"/>
        <s v="10/2013" u="1"/>
        <s v="08/2018" u="1"/>
        <s v="06/2019" u="1"/>
        <s v="12/2013" u="1"/>
        <s v="10/2014" u="1"/>
        <s v="08/2019" u="1"/>
        <s v="12/2014" u="1"/>
        <s v="10/2015" u="1"/>
        <s v="01/2014" u="1"/>
        <s v="12/2015" u="1"/>
        <s v="10/2016" u="1"/>
        <s v="05/2013" u="1"/>
        <s v="03/2014" u="1"/>
        <s v="01/2015" u="1"/>
        <s v="12/2016" u="1"/>
        <s v="07/2013" u="1"/>
        <s v="10/2017" u="1"/>
        <s v="05/2014" u="1"/>
        <s v="03/2015" u="1"/>
        <s v="01/2016" u="1"/>
        <s v="09/2013" u="1"/>
        <s v="12/2017" u="1"/>
      </sharedItems>
    </cacheField>
    <cacheField name="Dt Vencto" numFmtId="14">
      <sharedItems containsDate="1" containsMixedTypes="1" minDate="2013-05-17T00:00:00" maxDate="2032-01-16T00:00:00" count="239">
        <d v="2020-01-16T00:00:00"/>
        <s v=""/>
        <d v="2020-04-15T00:00:00"/>
        <d v="2020-07-15T00:00:00"/>
        <d v="2020-10-15T00:00:00"/>
        <d v="2021-01-15T00:00:00"/>
        <d v="2021-02-17T00:00:00"/>
        <d v="2021-03-15T00:00:00"/>
        <d v="2021-04-15T00:00:00"/>
        <d v="2021-05-17T00:00:00"/>
        <d v="2021-06-15T00:00:00"/>
        <d v="2021-07-15T00:00:00"/>
        <d v="2021-08-16T00:00:00"/>
        <d v="2021-09-15T00:00:00"/>
        <d v="2021-10-15T00:00:00"/>
        <d v="2021-11-16T00:00:00"/>
        <d v="2021-12-15T00:00:00"/>
        <d v="2022-01-17T00:00:00"/>
        <d v="2022-02-15T00:00:00"/>
        <d v="2022-03-15T00:00:00"/>
        <d v="2022-04-18T00:00:00"/>
        <d v="2022-05-16T00:00:00"/>
        <d v="2022-06-15T00:00:00"/>
        <d v="2022-07-15T00:00:00"/>
        <d v="2022-08-15T00:00:00"/>
        <d v="2022-09-15T00:00:00"/>
        <d v="2022-10-17T00:00:00"/>
        <d v="2022-11-16T00:00:00"/>
        <d v="2022-12-15T00:00:00"/>
        <d v="2023-01-16T00:00:00"/>
        <d v="2023-02-15T00:00:00"/>
        <d v="2023-03-15T00:00:00"/>
        <d v="2023-04-17T00:00:00"/>
        <d v="2023-05-15T00:00:00"/>
        <d v="2023-06-15T00:00:00"/>
        <d v="2023-07-17T00:00:00"/>
        <d v="2023-08-15T00:00:00"/>
        <d v="2023-09-15T00:00:00"/>
        <d v="2023-10-16T00:00:00"/>
        <d v="2023-11-16T00:00:00"/>
        <d v="2023-12-15T00:00:00"/>
        <d v="2024-01-15T00:00:00"/>
        <d v="2024-02-15T00:00:00"/>
        <d v="2024-03-15T00:00:00"/>
        <d v="2024-04-15T00:00:00"/>
        <d v="2024-05-15T00:00:00"/>
        <d v="2024-06-17T00:00:00"/>
        <d v="2024-07-15T00:00:00"/>
        <d v="2024-08-15T00:00:00"/>
        <d v="2024-09-16T00:00:00"/>
        <d v="2024-10-15T00:00:00"/>
        <d v="2024-11-18T00:00:00"/>
        <d v="2024-12-16T00:00:00"/>
        <d v="2025-01-15T00:00:00"/>
        <d v="2025-02-17T00:00:00"/>
        <d v="2025-03-17T00:00:00"/>
        <d v="2025-04-15T00:00:00"/>
        <d v="2025-05-15T00:00:00"/>
        <d v="2025-06-16T00:00:00"/>
        <d v="2025-07-15T00:00:00"/>
        <d v="2025-08-15T00:00:00"/>
        <d v="2025-09-15T00:00:00"/>
        <d v="2025-10-15T00:00:00"/>
        <d v="2025-11-17T00:00:00"/>
        <d v="2025-12-15T00:00:00"/>
        <d v="2026-01-15T00:00:00"/>
        <d v="2026-02-18T00:00:00"/>
        <d v="2026-03-16T00:00:00"/>
        <d v="2026-04-15T00:00:00"/>
        <d v="2026-05-15T00:00:00"/>
        <d v="2026-06-15T00:00:00"/>
        <d v="2026-07-15T00:00:00"/>
        <d v="2026-08-17T00:00:00"/>
        <d v="2026-09-15T00:00:00"/>
        <d v="2026-10-15T00:00:00"/>
        <d v="2026-11-16T00:00:00"/>
        <d v="2026-12-15T00:00:00"/>
        <d v="2027-01-15T00:00:00"/>
        <d v="2027-02-15T00:00:00"/>
        <d v="2027-03-15T00:00:00"/>
        <d v="2027-04-15T00:00:00"/>
        <d v="2027-05-17T00:00:00"/>
        <d v="2027-06-15T00:00:00"/>
        <d v="2027-07-15T00:00:00"/>
        <d v="2027-08-16T00:00:00"/>
        <d v="2027-09-15T00:00:00"/>
        <d v="2027-10-15T00:00:00"/>
        <d v="2027-11-16T00:00:00"/>
        <d v="2027-12-15T00:00:00"/>
        <d v="2028-01-17T00:00:00"/>
        <d v="2028-02-15T00:00:00"/>
        <d v="2028-03-15T00:00:00"/>
        <d v="2028-04-17T00:00:00"/>
        <d v="2028-05-15T00:00:00"/>
        <d v="2028-06-16T00:00:00"/>
        <d v="2028-07-17T00:00:00"/>
        <d v="2028-08-15T00:00:00"/>
        <d v="2028-09-15T00:00:00"/>
        <d v="2028-10-16T00:00:00"/>
        <d v="2028-11-16T00:00:00"/>
        <d v="2028-12-15T00:00:00"/>
        <d v="2029-01-15T00:00:00"/>
        <d v="2029-02-15T00:00:00"/>
        <d v="2029-03-15T00:00:00"/>
        <d v="2029-04-16T00:00:00"/>
        <d v="2029-05-15T00:00:00"/>
        <d v="2029-06-15T00:00:00"/>
        <d v="2029-07-16T00:00:00"/>
        <d v="2029-08-15T00:00:00"/>
        <d v="2029-09-17T00:00:00"/>
        <d v="2029-10-15T00:00:00"/>
        <d v="2029-11-16T00:00:00"/>
        <d v="2029-12-17T00:00:00"/>
        <d v="2030-01-15T00:00:00"/>
        <d v="2030-02-15T00:00:00"/>
        <d v="2030-03-15T00:00:00"/>
        <d v="2030-04-15T00:00:00"/>
        <d v="2030-05-15T00:00:00"/>
        <d v="2030-06-17T00:00:00"/>
        <d v="2030-07-15T00:00:00"/>
        <d v="2030-08-15T00:00:00"/>
        <d v="2030-09-16T00:00:00"/>
        <d v="2030-10-15T00:00:00"/>
        <d v="2030-11-18T00:00:00"/>
        <d v="2030-12-16T00:00:00"/>
        <d v="2031-01-15T00:00:00"/>
        <d v="2031-02-17T00:00:00"/>
        <d v="2031-03-17T00:00:00"/>
        <d v="2031-04-15T00:00:00"/>
        <d v="2031-05-15T00:00:00"/>
        <d v="2031-06-16T00:00:00"/>
        <d v="2031-07-15T00:00:00"/>
        <d v="2031-08-15T00:00:00"/>
        <d v="2031-09-15T00:00:00"/>
        <d v="2031-10-15T00:00:00"/>
        <d v="2031-11-17T00:00:00"/>
        <d v="2031-12-15T00:00:00"/>
        <d v="2032-01-15T00:00:00"/>
        <d v="2014-07-15T00:00:00" u="1"/>
        <d v="2019-12-16T00:00:00" u="1"/>
        <d v="2015-07-15T00:00:00" u="1"/>
        <d v="2019-06-17T00:00:00" u="1"/>
        <d v="2013-05-17T00:00:00" u="1"/>
        <d v="2016-07-15T00:00:00" u="1"/>
        <d v="2015-11-16T00:00:00" u="1"/>
        <d v="2016-11-16T00:00:00" u="1"/>
        <d v="2017-01-16T00:00:00" u="1"/>
        <d v="2017-11-16T00:00:00" u="1"/>
        <d v="2019-07-15T00:00:00" u="1"/>
        <d v="2017-05-17T00:00:00" u="1"/>
        <d v="2018-11-16T00:00:00" u="1"/>
        <d v="2015-06-15T00:00:00" u="1"/>
        <d v="2020-11-16T00:00:00" u="1"/>
        <d v="2016-06-15T00:00:00" u="1"/>
        <d v="2018-05-10T00:00:00" u="1"/>
        <d v="2018-06-15T00:00:00" u="1"/>
        <d v="2017-10-16T00:00:00" u="1"/>
        <d v="2017-04-17T00:00:00" u="1"/>
        <d v="2020-06-15T00:00:00" u="1"/>
        <d v="2014-05-15T00:00:00" u="1"/>
        <d v="2019-10-16T00:00:00" u="1"/>
        <d v="2015-05-15T00:00:00" u="1"/>
        <d v="2014-03-17T00:00:00" u="1"/>
        <d v="2017-05-15T00:00:00" u="1"/>
        <d v="2018-04-10T00:00:00" u="1"/>
        <d v="2018-05-15T00:00:00" u="1"/>
        <d v="2019-05-15T00:00:00" u="1"/>
        <d v="2020-05-15T00:00:00" u="1"/>
        <d v="2019-09-16T00:00:00" u="1"/>
        <d v="2015-04-15T00:00:00" u="1"/>
        <d v="2016-04-15T00:00:00" u="1"/>
        <d v="2014-02-17T00:00:00" u="1"/>
        <d v="2017-05-20T00:00:00" u="1"/>
        <d v="2019-04-15T00:00:00" u="1"/>
        <d v="2019-08-16T00:00:00" u="1"/>
        <d v="2018-12-17T00:00:00" u="1"/>
        <d v="2016-03-15T00:00:00" u="1"/>
        <d v="2019-01-31T00:00:00" u="1"/>
        <d v="2020-02-17T00:00:00" u="1"/>
        <d v="2017-03-15T00:00:00" u="1"/>
        <d v="2014-11-17T00:00:00" u="1"/>
        <d v="2018-03-15T00:00:00" u="1"/>
        <d v="2019-02-10T00:00:00" u="1"/>
        <d v="2019-04-01T00:00:00" u="1"/>
        <d v="2019-03-15T00:00:00" u="1"/>
        <d v="2018-07-16T00:00:00" u="1"/>
        <d v="2013-12-15T00:00:00" u="1"/>
        <d v="2014-12-15T00:00:00" u="1"/>
        <d v="2014-06-16T00:00:00" u="1"/>
        <d v="2015-12-15T00:00:00" u="1"/>
        <d v="2016-02-15T00:00:00" u="1"/>
        <d v="2016-12-15T00:00:00" u="1"/>
        <d v="2017-02-15T00:00:00" u="1"/>
        <d v="2017-12-15T00:00:00" u="1"/>
        <d v="2018-02-15T00:00:00" u="1"/>
        <d v="2017-06-16T00:00:00" u="1"/>
        <d v="2019-02-15T00:00:00" u="1"/>
        <d v="2016-10-17T00:00:00" u="1"/>
        <d v="2018-01-03T00:00:00" u="1"/>
        <d v="2017-10-17T00:00:00" u="1"/>
        <d v="2020-12-15T00:00:00" u="1"/>
        <d v="2015-01-15T00:00:00" u="1"/>
        <d v="2016-01-15T00:00:00" u="1"/>
        <d v="2016-05-16T00:00:00" u="1"/>
        <d v="2018-01-15T00:00:00" u="1"/>
        <d v="2018-10-10T00:00:00" u="1"/>
        <d v="2019-01-15T00:00:00" u="1"/>
        <d v="2019-02-20T00:00:00" u="1"/>
        <d v="2020-01-15T00:00:00" u="1"/>
        <d v="2019-05-16T00:00:00" u="1"/>
        <d v="2014-10-15T00:00:00" u="1"/>
        <d v="2018-09-17T00:00:00" u="1"/>
        <d v="2015-10-15T00:00:00" u="1"/>
        <d v="2018-09-10T00:00:00" u="1"/>
        <d v="2015-08-17T00:00:00" u="1"/>
        <d v="2018-10-15T00:00:00" u="1"/>
        <d v="2015-02-18T00:00:00" u="1"/>
        <d v="2018-04-16T00:00:00" u="1"/>
        <d v="2019-01-20T00:00:00" u="1"/>
        <d v="2019-10-15T00:00:00" u="1"/>
        <d v="2014-09-15T00:00:00" u="1"/>
        <d v="2015-09-15T00:00:00" u="1"/>
        <d v="2015-03-16T00:00:00" u="1"/>
        <d v="2016-09-15T00:00:00" u="1"/>
        <d v="2020-08-17T00:00:00" u="1"/>
        <d v="2017-09-15T00:00:00" u="1"/>
        <d v="2013-11-18T00:00:00" u="1"/>
        <d v="2013-08-15T00:00:00" u="1"/>
        <d v="2017-07-17T00:00:00" u="1"/>
        <d v="2019-01-25T00:00:00" u="1"/>
        <d v="2020-09-15T00:00:00" u="1"/>
        <d v="2014-08-15T00:00:00" u="1"/>
        <d v="2020-03-16T00:00:00" u="1"/>
        <d v="2016-08-15T00:00:00" u="1"/>
        <d v="2017-08-15T00:00:00" u="1"/>
        <d v="2018-07-10T00:00:00" u="1"/>
        <d v="2019-11-18T00:00:00" u="1"/>
        <d v="2018-08-15T00:00:00" u="1"/>
        <d v="2019-08-15T00:00:00" u="1"/>
      </sharedItems>
    </cacheField>
    <cacheField name="Dt &quot;Quebra&quot;" numFmtId="14">
      <sharedItems containsSemiMixedTypes="0" containsNonDate="0" containsDate="1" containsString="0" minDate="2020-01-16T00:00:00" maxDate="2032-01-16T00:00:00"/>
    </cacheField>
    <cacheField name="Dt ref. M-3" numFmtId="14">
      <sharedItems containsNonDate="0" containsDate="1" containsString="0" containsBlank="1" minDate="2020-01-15T00:00:00" maxDate="2031-12-16T00:00:00"/>
    </cacheField>
    <cacheField name="Mês" numFmtId="14">
      <sharedItems containsNonDate="0" containsDate="1" containsString="0" containsBlank="1" minDate="2020-02-01T00:00:00" maxDate="2032-01-02T00:00:00"/>
    </cacheField>
    <cacheField name="% Var" numFmtId="168">
      <sharedItems containsBlank="1" containsMixedTypes="1" containsNumber="1" minValue="0.1932511460208762" maxValue="0.27909722222222216"/>
    </cacheField>
    <cacheField name="ndu" numFmtId="0">
      <sharedItems containsString="0" containsBlank="1" containsNumber="1" containsInteger="1" minValue="18" maxValue="23"/>
    </cacheField>
    <cacheField name="ndm" numFmtId="0">
      <sharedItems containsString="0" containsBlank="1" containsNumber="1" containsInteger="1" minValue="18" maxValue="23"/>
    </cacheField>
    <cacheField name="Fator &quot;IPCA&quot;" numFmtId="0">
      <sharedItems containsBlank="1" containsMixedTypes="1" containsNumber="1" minValue="1.0019325114602087" maxValue="1.0027909722222221"/>
    </cacheField>
    <cacheField name="Fator Juros Prefixados" numFmtId="0">
      <sharedItems containsString="0" containsBlank="1" containsNumber="1" minValue="1.0012610398123627" maxValue="1.0016116107787196"/>
    </cacheField>
    <cacheField name="Fator Spread &quot;BNDES&quot;" numFmtId="0">
      <sharedItems containsString="0" containsBlank="1" containsNumber="1" minValue="1.0010640380081841" maxValue="1.0013598049965762"/>
    </cacheField>
    <cacheField name="Fator Spread &quot;BADESUL&quot;" numFmtId="0">
      <sharedItems containsString="0" containsBlank="1" containsNumber="1" minValue="1.0028054073217112" maxValue="1.0035860829282697"/>
    </cacheField>
    <cacheField name="Fator Juros" numFmtId="0">
      <sharedItems containsBlank="1" containsMixedTypes="1" containsNumber="1" minValue="1.0074666636545682" maxValue="1.0258074727265063"/>
    </cacheField>
    <cacheField name="Juros em R$" numFmtId="0">
      <sharedItems containsString="0" containsBlank="1" containsNumber="1" minValue="0" maxValue="25807.47"/>
    </cacheField>
    <cacheField name="Amortização R$" numFmtId="0">
      <sharedItems containsString="0" containsBlank="1" containsNumber="1" minValue="0" maxValue="9259.26"/>
    </cacheField>
    <cacheField name="Tot a Pagar R$" numFmtId="0">
      <sharedItems containsString="0" containsBlank="1" containsNumber="1" minValue="0" maxValue="25807.47"/>
    </cacheField>
    <cacheField name="Sld Devedor R$" numFmtId="4">
      <sharedItems containsSemiMixedTypes="0" containsString="0" containsNumber="1" minValue="-8.4219209384173155E-10" maxValue="1000000"/>
    </cacheField>
    <cacheField name="Nº Parcelas" numFmtId="170">
      <sharedItems containsBlank="1" containsMixedTypes="1" containsNumber="1" containsInteger="1" minValue="1" maxValue="108" count="110">
        <m/>
        <s v=""/>
        <n v="4"/>
        <n v="3"/>
        <n v="2"/>
        <n v="1"/>
        <n v="108"/>
        <n v="107"/>
        <n v="106"/>
        <n v="105"/>
        <n v="104"/>
        <n v="103"/>
        <n v="102"/>
        <n v="101"/>
        <n v="100"/>
        <n v="99"/>
        <n v="98"/>
        <n v="97"/>
        <n v="96"/>
        <n v="95"/>
        <n v="94"/>
        <n v="93"/>
        <n v="92"/>
        <n v="91"/>
        <n v="90"/>
        <n v="89"/>
        <n v="88"/>
        <n v="87"/>
        <n v="86"/>
        <n v="85"/>
        <n v="84"/>
        <n v="83"/>
        <n v="82"/>
        <n v="81"/>
        <n v="80"/>
        <n v="79"/>
        <n v="78"/>
        <n v="77"/>
        <n v="76"/>
        <n v="75"/>
        <n v="74"/>
        <n v="73"/>
        <n v="72"/>
        <n v="71"/>
        <n v="70"/>
        <n v="69"/>
        <n v="68"/>
        <n v="67"/>
        <n v="66"/>
        <n v="65"/>
        <n v="64"/>
        <n v="63"/>
        <n v="62"/>
        <n v="61"/>
        <n v="60"/>
        <n v="59"/>
        <n v="58"/>
        <n v="57"/>
        <n v="56"/>
        <n v="55"/>
        <n v="54"/>
        <n v="53"/>
        <n v="52"/>
        <n v="51"/>
        <n v="50"/>
        <n v="49"/>
        <n v="48"/>
        <n v="47"/>
        <n v="46"/>
        <n v="45"/>
        <n v="44"/>
        <n v="43"/>
        <n v="42"/>
        <n v="41"/>
        <n v="40"/>
        <n v="39"/>
        <n v="38"/>
        <n v="37"/>
        <n v="36"/>
        <n v="35"/>
        <n v="34"/>
        <n v="33"/>
        <n v="32"/>
        <n v="31"/>
        <n v="30"/>
        <n v="29"/>
        <n v="28"/>
        <n v="27"/>
        <n v="26"/>
        <n v="25"/>
        <n v="24"/>
        <n v="23"/>
        <n v="22"/>
        <n v="21"/>
        <n v="20"/>
        <n v="19"/>
        <n v="18"/>
        <n v="17"/>
        <n v="16"/>
        <n v="15"/>
        <n v="14"/>
        <n v="13"/>
        <n v="12"/>
        <n v="11"/>
        <n v="10"/>
        <n v="9"/>
        <n v="8"/>
        <n v="7"/>
        <n v="6"/>
        <n v="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5">
  <r>
    <x v="0"/>
    <x v="0"/>
    <x v="0"/>
    <d v="2020-01-16T00:00:00"/>
    <m/>
    <m/>
    <m/>
    <m/>
    <m/>
    <m/>
    <m/>
    <m/>
    <m/>
    <m/>
    <m/>
    <m/>
    <m/>
    <n v="1000000"/>
    <x v="0"/>
  </r>
  <r>
    <x v="0"/>
    <x v="1"/>
    <x v="1"/>
    <d v="2020-02-17T00:00:00"/>
    <d v="2020-01-15T00:00:00"/>
    <d v="2020-02-01T00:00:00"/>
    <n v="0.26916666666666661"/>
    <n v="22"/>
    <n v="23"/>
    <n v="1.0025744871683946"/>
    <n v="1.0015414867672061"/>
    <n v="1.0013006446089134"/>
    <n v="1.0034298992021382"/>
    <n v="1.0088744553122238"/>
    <n v="0"/>
    <n v="0"/>
    <n v="0"/>
    <n v="1000000"/>
    <x v="1"/>
  </r>
  <r>
    <x v="0"/>
    <x v="2"/>
    <x v="1"/>
    <d v="2020-03-16T00:00:00"/>
    <d v="2020-02-15T00:00:00"/>
    <d v="2020-03-01T00:00:00"/>
    <n v="0.27909722222222216"/>
    <n v="18"/>
    <n v="18"/>
    <n v="1.0027909722222221"/>
    <n v="1.0012610398123627"/>
    <n v="1.0010640380081841"/>
    <n v="1.0028054073217112"/>
    <n v="1.0168886177427563"/>
    <n v="0"/>
    <n v="0"/>
    <n v="0"/>
    <n v="1000000"/>
    <x v="1"/>
  </r>
  <r>
    <x v="0"/>
    <x v="3"/>
    <x v="2"/>
    <d v="2020-04-15T00:00:00"/>
    <d v="2020-03-15T00:00:00"/>
    <d v="2020-04-01T00:00:00"/>
    <n v="0.27568865740740739"/>
    <n v="21"/>
    <n v="21"/>
    <n v="1.0027568865740741"/>
    <n v="1.0014713676651572"/>
    <n v="1.0012414877164493"/>
    <n v="1.0032737397821989"/>
    <n v="1.0258074727265063"/>
    <n v="25807.47"/>
    <n v="0"/>
    <n v="25807.47"/>
    <n v="1000000"/>
    <x v="2"/>
  </r>
  <r>
    <x v="0"/>
    <x v="4"/>
    <x v="1"/>
    <d v="2020-05-15T00:00:00"/>
    <d v="2020-04-15T00:00:00"/>
    <d v="2020-05-01T00:00:00"/>
    <n v="0.26282937885802465"/>
    <n v="20"/>
    <n v="20"/>
    <n v="1.0026282937885802"/>
    <n v="1.0014012534722294"/>
    <n v="1.0011823343189774"/>
    <n v="1.0031176046646693"/>
    <n v="1.008354212711557"/>
    <n v="0"/>
    <n v="0"/>
    <n v="0"/>
    <n v="1000000"/>
    <x v="1"/>
  </r>
  <r>
    <x v="0"/>
    <x v="5"/>
    <x v="1"/>
    <d v="2020-06-15T00:00:00"/>
    <d v="2020-05-15T00:00:00"/>
    <d v="2020-06-01T00:00:00"/>
    <n v="0.22223182709619338"/>
    <n v="20"/>
    <n v="20"/>
    <n v="1.002222318270962"/>
    <n v="1.0014012534722294"/>
    <n v="1.0011823343189774"/>
    <n v="1.0031176046646693"/>
    <n v="1.0163665133113158"/>
    <n v="0"/>
    <n v="0"/>
    <n v="0"/>
    <n v="1000000"/>
    <x v="1"/>
  </r>
  <r>
    <x v="0"/>
    <x v="6"/>
    <x v="3"/>
    <d v="2020-07-15T00:00:00"/>
    <d v="2020-06-15T00:00:00"/>
    <d v="2020-07-01T00:00:00"/>
    <n v="0.1932511460208762"/>
    <n v="22"/>
    <n v="22"/>
    <n v="1.0019325114602087"/>
    <n v="1.0015414867672061"/>
    <n v="1.0013006446089134"/>
    <n v="1.0034298992021382"/>
    <n v="1.0247296298382695"/>
    <n v="24729.63"/>
    <n v="0"/>
    <n v="24729.63"/>
    <n v="1000000"/>
    <x v="3"/>
  </r>
  <r>
    <x v="0"/>
    <x v="7"/>
    <x v="1"/>
    <d v="2020-08-17T00:00:00"/>
    <d v="2020-07-15T00:00:00"/>
    <d v="2020-08-01T00:00:00"/>
    <n v="0.19852207485594922"/>
    <n v="23"/>
    <n v="23"/>
    <n v="1.0019852207485596"/>
    <n v="1.0016116107787196"/>
    <n v="1.0013598049965762"/>
    <n v="1.0035860829282697"/>
    <n v="1.0085686181333688"/>
    <n v="0"/>
    <n v="0"/>
    <n v="0"/>
    <n v="1000000"/>
    <x v="1"/>
  </r>
  <r>
    <x v="0"/>
    <x v="8"/>
    <x v="1"/>
    <d v="2020-09-15T00:00:00"/>
    <d v="2020-08-15T00:00:00"/>
    <d v="2020-09-01T00:00:00"/>
    <n v="0.21423224776061164"/>
    <n v="20"/>
    <n v="20"/>
    <n v="1.002142322477606"/>
    <n v="1.0014012534722294"/>
    <n v="1.0011823343189774"/>
    <n v="1.0031176046646693"/>
    <n v="1.0165014803711614"/>
    <n v="0"/>
    <n v="0"/>
    <n v="0"/>
    <n v="1000000"/>
    <x v="1"/>
  </r>
  <r>
    <x v="0"/>
    <x v="9"/>
    <x v="4"/>
    <d v="2020-10-15T00:00:00"/>
    <d v="2020-09-15T00:00:00"/>
    <d v="2020-10-01T00:00:00"/>
    <n v="0.2162516017406626"/>
    <n v="21"/>
    <n v="21"/>
    <n v="1.0021625160174066"/>
    <n v="1.0014713676651572"/>
    <n v="1.0012414877164493"/>
    <n v="1.0032737397821989"/>
    <n v="1.0248091378815425"/>
    <n v="24809.14"/>
    <n v="0"/>
    <n v="24809.14"/>
    <n v="1000000"/>
    <x v="4"/>
  </r>
  <r>
    <x v="0"/>
    <x v="10"/>
    <x v="1"/>
    <d v="2020-11-16T00:00:00"/>
    <d v="2020-10-15T00:00:00"/>
    <d v="2020-11-01T00:00:00"/>
    <n v="0.22510590188571777"/>
    <n v="21"/>
    <n v="21"/>
    <n v="1.0022510590188571"/>
    <n v="1.0014713676651572"/>
    <n v="1.0012414877164493"/>
    <n v="1.0032737397821989"/>
    <n v="1.0082618683267615"/>
    <n v="0"/>
    <n v="0"/>
    <n v="0"/>
    <n v="1000000"/>
    <x v="1"/>
  </r>
  <r>
    <x v="0"/>
    <x v="11"/>
    <x v="1"/>
    <d v="2020-12-15T00:00:00"/>
    <d v="2020-11-15T00:00:00"/>
    <d v="2020-12-01T00:00:00"/>
    <n v="0.24719806037619427"/>
    <n v="21"/>
    <n v="21"/>
    <n v="1.0024719806037619"/>
    <n v="1.0014713676651572"/>
    <n v="1.0012414877164493"/>
    <n v="1.0032737397821989"/>
    <n v="1.0168160778131718"/>
    <n v="0"/>
    <n v="0"/>
    <n v="0"/>
    <n v="1000000"/>
    <x v="1"/>
  </r>
  <r>
    <x v="1"/>
    <x v="12"/>
    <x v="5"/>
    <d v="2021-01-15T00:00:00"/>
    <d v="2020-12-15T00:00:00"/>
    <d v="2021-01-01T00:00:00"/>
    <n v="0.25946456540754381"/>
    <n v="21"/>
    <n v="21"/>
    <n v="1.0025946456540755"/>
    <n v="1.0014713676651572"/>
    <n v="1.0012414877164493"/>
    <n v="1.0032737397821989"/>
    <n v="1.0255683380217633"/>
    <n v="25568.34"/>
    <n v="0"/>
    <n v="25568.34"/>
    <n v="1000000"/>
    <x v="5"/>
  </r>
  <r>
    <x v="1"/>
    <x v="13"/>
    <x v="6"/>
    <d v="2021-02-17T00:00:00"/>
    <d v="2021-01-15T00:00:00"/>
    <d v="2021-02-01T00:00:00"/>
    <n v="0.23858661252483915"/>
    <n v="21"/>
    <n v="21"/>
    <n v="1.0023858661252485"/>
    <n v="1.0014713676651572"/>
    <n v="1.0012414877164493"/>
    <n v="1.0032737397821989"/>
    <n v="1.0083974839130265"/>
    <n v="8397.48"/>
    <n v="9259.26"/>
    <n v="17656.739999999998"/>
    <n v="990740.74"/>
    <x v="6"/>
  </r>
  <r>
    <x v="1"/>
    <x v="14"/>
    <x v="7"/>
    <d v="2021-03-15T00:00:00"/>
    <d v="2021-02-15T00:00:00"/>
    <d v="2021-03-01T00:00:00"/>
    <n v="0.23603827467968685"/>
    <n v="18"/>
    <n v="18"/>
    <n v="1.0023603827467968"/>
    <n v="1.0012610398123627"/>
    <n v="1.0010640380081841"/>
    <n v="1.0028054073217112"/>
    <n v="1.0075108647188933"/>
    <n v="7441.32"/>
    <n v="9259.26"/>
    <n v="16700.580000000002"/>
    <n v="981481.48"/>
    <x v="7"/>
  </r>
  <r>
    <x v="1"/>
    <x v="15"/>
    <x v="8"/>
    <d v="2021-04-15T00:00:00"/>
    <d v="2021-03-15T00:00:00"/>
    <d v="2021-04-01T00:00:00"/>
    <n v="0.2324500290511422"/>
    <n v="22"/>
    <n v="22"/>
    <n v="1.0023245002905115"/>
    <n v="1.0015414867672061"/>
    <n v="1.0013006446089134"/>
    <n v="1.0034298992021382"/>
    <n v="1.0086228975691458"/>
    <n v="8463.2099999999991"/>
    <n v="9259.26"/>
    <n v="17722.47"/>
    <n v="972222.22"/>
    <x v="8"/>
  </r>
  <r>
    <x v="1"/>
    <x v="16"/>
    <x v="9"/>
    <d v="2021-05-17T00:00:00"/>
    <d v="2021-04-15T00:00:00"/>
    <d v="2021-05-01T00:00:00"/>
    <n v="0.22884681002145349"/>
    <n v="21"/>
    <n v="21"/>
    <n v="1.0022884681002144"/>
    <n v="1.0014713676651572"/>
    <n v="1.0012414877164493"/>
    <n v="1.0032737397821989"/>
    <n v="1.0082995017619392"/>
    <n v="8068.96"/>
    <n v="9259.26"/>
    <n v="17328.22"/>
    <n v="962962.96"/>
    <x v="9"/>
  </r>
  <r>
    <x v="1"/>
    <x v="17"/>
    <x v="10"/>
    <d v="2021-06-15T00:00:00"/>
    <d v="2021-05-15T00:00:00"/>
    <d v="2021-06-01T00:00:00"/>
    <n v="0.22601492928507252"/>
    <n v="20"/>
    <n v="20"/>
    <n v="1.0022601492928507"/>
    <n v="1.0014012534722294"/>
    <n v="1.0011823343189774"/>
    <n v="1.0031176046646693"/>
    <n v="1.0079839657761223"/>
    <n v="7688.26"/>
    <n v="9259.26"/>
    <n v="16947.52"/>
    <n v="953703.7"/>
    <x v="10"/>
  </r>
  <r>
    <x v="1"/>
    <x v="18"/>
    <x v="11"/>
    <d v="2021-07-15T00:00:00"/>
    <d v="2021-06-15T00:00:00"/>
    <d v="2021-07-01T00:00:00"/>
    <n v="0.22633018780081249"/>
    <n v="22"/>
    <n v="22"/>
    <n v="1.0022633018780081"/>
    <n v="1.0015414867672061"/>
    <n v="1.0013006446089134"/>
    <n v="1.0034298992021382"/>
    <n v="1.0085613145986327"/>
    <n v="8164.96"/>
    <n v="9259.26"/>
    <n v="17424.22"/>
    <n v="944444.44"/>
    <x v="11"/>
  </r>
  <r>
    <x v="1"/>
    <x v="19"/>
    <x v="12"/>
    <d v="2021-08-16T00:00:00"/>
    <d v="2021-07-15T00:00:00"/>
    <d v="2021-08-01T00:00:00"/>
    <n v="0.22908677461580718"/>
    <n v="22"/>
    <n v="22"/>
    <n v="1.0022908677461582"/>
    <n v="1.0015414867672061"/>
    <n v="1.0013006446089134"/>
    <n v="1.0034298992021382"/>
    <n v="1.0085890536849262"/>
    <n v="8111.88"/>
    <n v="9259.26"/>
    <n v="17371.14"/>
    <n v="935185.17999999993"/>
    <x v="12"/>
  </r>
  <r>
    <x v="1"/>
    <x v="20"/>
    <x v="13"/>
    <d v="2021-09-15T00:00:00"/>
    <d v="2021-08-15T00:00:00"/>
    <d v="2021-09-01T00:00:00"/>
    <n v="0.23163383292912867"/>
    <n v="21"/>
    <n v="21"/>
    <n v="1.0023163383292912"/>
    <n v="1.0014713676651572"/>
    <n v="1.0012414877164493"/>
    <n v="1.0032737397821989"/>
    <n v="1.008327539137392"/>
    <n v="7787.79"/>
    <n v="9259.26"/>
    <n v="17047.05"/>
    <n v="925925.91999999993"/>
    <x v="13"/>
  </r>
  <r>
    <x v="1"/>
    <x v="21"/>
    <x v="14"/>
    <d v="2021-10-15T00:00:00"/>
    <d v="2021-09-15T00:00:00"/>
    <d v="2021-10-01T00:00:00"/>
    <n v="0.23308396502650511"/>
    <n v="21"/>
    <n v="21"/>
    <n v="1.002330839650265"/>
    <n v="1.0014713676651572"/>
    <n v="1.0012414877164493"/>
    <n v="1.0032737397821989"/>
    <n v="1.0083421274272688"/>
    <n v="7724.19"/>
    <n v="9259.26"/>
    <n v="16983.45"/>
    <n v="916666.65999999992"/>
    <x v="14"/>
  </r>
  <r>
    <x v="1"/>
    <x v="22"/>
    <x v="15"/>
    <d v="2021-11-16T00:00:00"/>
    <d v="2021-10-15T00:00:00"/>
    <d v="2021-11-01T00:00:00"/>
    <n v="0.23448666196699197"/>
    <n v="20"/>
    <n v="20"/>
    <n v="1.0023448666196699"/>
    <n v="1.0014012534722294"/>
    <n v="1.0011823343189774"/>
    <n v="1.0031176046646693"/>
    <n v="1.0080691669158839"/>
    <n v="7396.74"/>
    <n v="9259.26"/>
    <n v="16656"/>
    <n v="907407.39999999991"/>
    <x v="15"/>
  </r>
  <r>
    <x v="1"/>
    <x v="23"/>
    <x v="16"/>
    <d v="2021-12-15T00:00:00"/>
    <d v="2021-11-15T00:00:00"/>
    <d v="2021-12-01T00:00:00"/>
    <n v="0.23526839197376481"/>
    <n v="21"/>
    <n v="21"/>
    <n v="1.0023526839197376"/>
    <n v="1.0014713676651572"/>
    <n v="1.0012414877164493"/>
    <n v="1.0032737397821989"/>
    <n v="1.0083641027035755"/>
    <n v="7589.65"/>
    <n v="9259.26"/>
    <n v="16848.91"/>
    <n v="898148.1399999999"/>
    <x v="16"/>
  </r>
  <r>
    <x v="2"/>
    <x v="24"/>
    <x v="17"/>
    <d v="2022-01-17T00:00:00"/>
    <d v="2021-12-15T00:00:00"/>
    <d v="2022-01-01T00:00:00"/>
    <n v="0.23427425294022899"/>
    <n v="23"/>
    <n v="23"/>
    <n v="1.0023427425294023"/>
    <n v="1.0016116107787196"/>
    <n v="1.0013598049965762"/>
    <n v="1.0035860829282697"/>
    <n v="1.0089284889587966"/>
    <n v="8019.11"/>
    <n v="9259.26"/>
    <n v="17278.37"/>
    <n v="888888.87999999989"/>
    <x v="17"/>
  </r>
  <r>
    <x v="2"/>
    <x v="25"/>
    <x v="18"/>
    <d v="2022-02-15T00:00:00"/>
    <d v="2022-01-15T00:00:00"/>
    <d v="2022-02-01T00:00:00"/>
    <n v="0.23217506023461945"/>
    <n v="21"/>
    <n v="21"/>
    <n v="1.0023217506023463"/>
    <n v="1.0014713676651572"/>
    <n v="1.0012414877164493"/>
    <n v="1.0032737397821989"/>
    <n v="1.008332983869521"/>
    <n v="7407.1"/>
    <n v="9259.26"/>
    <n v="16666.36"/>
    <n v="879629.61999999988"/>
    <x v="18"/>
  </r>
  <r>
    <x v="2"/>
    <x v="26"/>
    <x v="19"/>
    <d v="2022-03-15T00:00:00"/>
    <d v="2022-02-15T00:00:00"/>
    <d v="2022-03-01T00:00:00"/>
    <n v="0.23164076421043445"/>
    <n v="18"/>
    <n v="18"/>
    <n v="1.0023164076421043"/>
    <n v="1.0012610398123627"/>
    <n v="1.0010640380081841"/>
    <n v="1.0028054073217112"/>
    <n v="1.0074666636545682"/>
    <n v="6567.9"/>
    <n v="9259.26"/>
    <n v="15827.16"/>
    <n v="870370.35999999987"/>
    <x v="19"/>
  </r>
  <r>
    <x v="2"/>
    <x v="27"/>
    <x v="20"/>
    <d v="2022-04-18T00:00:00"/>
    <d v="2022-03-15T00:00:00"/>
    <d v="2022-04-01T00:00:00"/>
    <n v="0.23127430500466342"/>
    <n v="23"/>
    <n v="23"/>
    <n v="1.0023127430500467"/>
    <n v="1.0016116107787196"/>
    <n v="1.0013598049965762"/>
    <n v="1.0035860829282697"/>
    <n v="1.0088982923722483"/>
    <n v="7744.81"/>
    <n v="9259.26"/>
    <n v="17004.07"/>
    <n v="861111.09999999986"/>
    <x v="20"/>
  </r>
  <r>
    <x v="2"/>
    <x v="28"/>
    <x v="21"/>
    <d v="2022-05-16T00:00:00"/>
    <d v="2022-04-15T00:00:00"/>
    <d v="2022-05-01T00:00:00"/>
    <n v="0.23117632800079022"/>
    <n v="19"/>
    <n v="19"/>
    <n v="1.0023117632800078"/>
    <n v="1.0013311441880792"/>
    <n v="1.0011231844162911"/>
    <n v="1.0029614938457672"/>
    <n v="1.0077488941264752"/>
    <n v="6672.66"/>
    <n v="9259.26"/>
    <n v="15931.92"/>
    <n v="851851.83999999985"/>
    <x v="21"/>
  </r>
  <r>
    <x v="2"/>
    <x v="29"/>
    <x v="22"/>
    <d v="2022-06-15T00:00:00"/>
    <d v="2022-05-15T00:00:00"/>
    <d v="2022-06-01T00:00:00"/>
    <n v="0.23137045449906826"/>
    <n v="22"/>
    <n v="22"/>
    <n v="1.0023137045449906"/>
    <n v="1.0015414867672061"/>
    <n v="1.0013006446089134"/>
    <n v="1.0034298992021382"/>
    <n v="1.0086120339854205"/>
    <n v="7336.18"/>
    <n v="9259.26"/>
    <n v="16595.440000000002"/>
    <n v="842592.57999999984"/>
    <x v="22"/>
  </r>
  <r>
    <x v="2"/>
    <x v="30"/>
    <x v="23"/>
    <d v="2022-07-15T00:00:00"/>
    <d v="2022-06-15T00:00:00"/>
    <d v="2022-07-01T00:00:00"/>
    <n v="0.23181674826690124"/>
    <n v="21"/>
    <n v="21"/>
    <n v="1.0023181674826691"/>
    <n v="1.0014713676651572"/>
    <n v="1.0012414877164493"/>
    <n v="1.0032737397821989"/>
    <n v="1.0083293792607679"/>
    <n v="7018.27"/>
    <n v="9259.26"/>
    <n v="16277.53"/>
    <n v="833333.31999999983"/>
    <x v="23"/>
  </r>
  <r>
    <x v="2"/>
    <x v="31"/>
    <x v="24"/>
    <d v="2022-08-15T00:00:00"/>
    <d v="2022-07-15T00:00:00"/>
    <d v="2022-08-01T00:00:00"/>
    <n v="0.23227396163907529"/>
    <n v="21"/>
    <n v="21"/>
    <n v="1.0023227396163907"/>
    <n v="1.0014713676651572"/>
    <n v="1.0012414877164493"/>
    <n v="1.0032737397821989"/>
    <n v="1.0083339788149881"/>
    <n v="6944.98"/>
    <n v="9259.26"/>
    <n v="16204.24"/>
    <n v="824074.05999999982"/>
    <x v="24"/>
  </r>
  <r>
    <x v="2"/>
    <x v="32"/>
    <x v="25"/>
    <d v="2022-09-15T00:00:00"/>
    <d v="2022-08-15T00:00:00"/>
    <d v="2022-09-01T00:00:00"/>
    <n v="0.23253956055768099"/>
    <n v="22"/>
    <n v="22"/>
    <n v="1.0023253956055769"/>
    <n v="1.0015414867672061"/>
    <n v="1.0013006446089134"/>
    <n v="1.0034298992021382"/>
    <n v="1.0086237985101836"/>
    <n v="7106.65"/>
    <n v="9259.26"/>
    <n v="16365.91"/>
    <n v="814814.79999999981"/>
    <x v="25"/>
  </r>
  <r>
    <x v="2"/>
    <x v="33"/>
    <x v="26"/>
    <d v="2022-10-17T00:00:00"/>
    <d v="2022-09-15T00:00:00"/>
    <d v="2022-10-01T00:00:00"/>
    <n v="0.23261503786006035"/>
    <n v="21"/>
    <n v="21"/>
    <n v="1.0023261503786005"/>
    <n v="1.0014713676651572"/>
    <n v="1.0012414877164493"/>
    <n v="1.0032737397821989"/>
    <n v="1.008337410032593"/>
    <n v="6793.45"/>
    <n v="9259.26"/>
    <n v="16052.71"/>
    <n v="805555.5399999998"/>
    <x v="26"/>
  </r>
  <r>
    <x v="2"/>
    <x v="34"/>
    <x v="27"/>
    <d v="2022-11-16T00:00:00"/>
    <d v="2022-10-15T00:00:00"/>
    <d v="2022-11-01T00:00:00"/>
    <n v="0.23257596059618993"/>
    <n v="20"/>
    <n v="20"/>
    <n v="1.0023257596059618"/>
    <n v="1.0014012534722294"/>
    <n v="1.0011823343189774"/>
    <n v="1.0031176046646693"/>
    <n v="1.0080499507837595"/>
    <n v="6484.68"/>
    <n v="9259.26"/>
    <n v="15743.94"/>
    <n v="796296.2799999998"/>
    <x v="27"/>
  </r>
  <r>
    <x v="2"/>
    <x v="35"/>
    <x v="28"/>
    <d v="2022-12-15T00:00:00"/>
    <d v="2022-11-15T00:00:00"/>
    <d v="2022-12-01T00:00:00"/>
    <n v="0.23241673548195643"/>
    <n v="21"/>
    <n v="21"/>
    <n v="1.0023241673548196"/>
    <n v="1.0014713676651572"/>
    <n v="1.0012414877164493"/>
    <n v="1.0032737397821989"/>
    <n v="1.0083354151160058"/>
    <n v="6637.46"/>
    <n v="9259.26"/>
    <n v="15896.720000000001"/>
    <n v="787037.01999999979"/>
    <x v="28"/>
  </r>
  <r>
    <x v="3"/>
    <x v="36"/>
    <x v="29"/>
    <d v="2023-01-16T00:00:00"/>
    <d v="2022-12-15T00:00:00"/>
    <d v="2023-01-01T00:00:00"/>
    <n v="0.2321790974409724"/>
    <n v="22"/>
    <n v="22"/>
    <n v="1.0023217909744098"/>
    <n v="1.0015414867672061"/>
    <n v="1.0013006446089134"/>
    <n v="1.0034298992021382"/>
    <n v="1.008620171228269"/>
    <n v="6784.39"/>
    <n v="9259.26"/>
    <n v="16043.650000000001"/>
    <n v="777777.75999999978"/>
    <x v="29"/>
  </r>
  <r>
    <x v="3"/>
    <x v="37"/>
    <x v="30"/>
    <d v="2023-02-15T00:00:00"/>
    <d v="2023-01-15T00:00:00"/>
    <d v="2023-02-01T00:00:00"/>
    <n v="0.23200450114936769"/>
    <n v="22"/>
    <n v="22"/>
    <n v="1.0023200450114937"/>
    <n v="1.0015414867672061"/>
    <n v="1.0013006446089134"/>
    <n v="1.0034298992021382"/>
    <n v="1.0086184142940877"/>
    <n v="6703.21"/>
    <n v="9259.26"/>
    <n v="15962.470000000001"/>
    <n v="768518.49999999977"/>
    <x v="30"/>
  </r>
  <r>
    <x v="3"/>
    <x v="38"/>
    <x v="31"/>
    <d v="2023-03-15T00:00:00"/>
    <d v="2023-02-15T00:00:00"/>
    <d v="2023-03-01T00:00:00"/>
    <n v="0.23199028789226339"/>
    <n v="18"/>
    <n v="18"/>
    <n v="1.0023199028789227"/>
    <n v="1.0012610398123627"/>
    <n v="1.0010640380081841"/>
    <n v="1.0028054073217112"/>
    <n v="1.0074701768511489"/>
    <n v="5740.97"/>
    <n v="9259.26"/>
    <n v="15000.23"/>
    <n v="759259.23999999976"/>
    <x v="31"/>
  </r>
  <r>
    <x v="3"/>
    <x v="39"/>
    <x v="32"/>
    <d v="2023-04-17T00:00:00"/>
    <d v="2023-03-15T00:00:00"/>
    <d v="2023-04-01T00:00:00"/>
    <n v="0.23201941486574917"/>
    <n v="22"/>
    <n v="22"/>
    <n v="1.0023201941486575"/>
    <n v="1.0015414867672061"/>
    <n v="1.0013006446089134"/>
    <n v="1.0034298992021382"/>
    <n v="1.0086185643683983"/>
    <n v="6543.72"/>
    <n v="9259.26"/>
    <n v="15802.98"/>
    <n v="749999.97999999975"/>
    <x v="32"/>
  </r>
  <r>
    <x v="3"/>
    <x v="40"/>
    <x v="33"/>
    <d v="2023-05-15T00:00:00"/>
    <d v="2023-04-15T00:00:00"/>
    <d v="2023-05-01T00:00:00"/>
    <n v="0.23208150735417296"/>
    <n v="18"/>
    <n v="18"/>
    <n v="1.0023208150735416"/>
    <n v="1.0012610398123627"/>
    <n v="1.0010640380081841"/>
    <n v="1.0028054073217112"/>
    <n v="1.0074710937329461"/>
    <n v="5603.32"/>
    <n v="9259.26"/>
    <n v="14862.58"/>
    <n v="740740.71999999974"/>
    <x v="33"/>
  </r>
  <r>
    <x v="3"/>
    <x v="41"/>
    <x v="34"/>
    <d v="2023-06-15T00:00:00"/>
    <d v="2023-05-15T00:00:00"/>
    <d v="2023-06-01T00:00:00"/>
    <n v="0.23215693896695486"/>
    <n v="22"/>
    <n v="22"/>
    <n v="1.0023215693896697"/>
    <n v="1.0015414867672061"/>
    <n v="1.0013006446089134"/>
    <n v="1.0034298992021382"/>
    <n v="1.0086199482511369"/>
    <n v="6385.15"/>
    <n v="9259.26"/>
    <n v="15644.41"/>
    <n v="731481.45999999973"/>
    <x v="34"/>
  </r>
  <r>
    <x v="3"/>
    <x v="42"/>
    <x v="35"/>
    <d v="2023-07-17T00:00:00"/>
    <d v="2023-06-15T00:00:00"/>
    <d v="2023-07-01T00:00:00"/>
    <n v="0.23222247933927867"/>
    <n v="22"/>
    <n v="22"/>
    <n v="1.0023222247933927"/>
    <n v="1.0015414867672061"/>
    <n v="1.0013006446089134"/>
    <n v="1.0034298992021382"/>
    <n v="1.0086206077732793"/>
    <n v="6305.81"/>
    <n v="9259.26"/>
    <n v="15565.07"/>
    <n v="722222.19999999972"/>
    <x v="35"/>
  </r>
  <r>
    <x v="3"/>
    <x v="43"/>
    <x v="36"/>
    <d v="2023-08-15T00:00:00"/>
    <d v="2023-07-15T00:00:00"/>
    <d v="2023-08-01T00:00:00"/>
    <n v="0.23225629026197681"/>
    <n v="21"/>
    <n v="21"/>
    <n v="1.0023225629026198"/>
    <n v="1.0014713676651572"/>
    <n v="1.0012414877164493"/>
    <n v="1.0032737397821989"/>
    <n v="1.0083338010414102"/>
    <n v="6018.86"/>
    <n v="9259.26"/>
    <n v="15278.119999999999"/>
    <n v="712962.93999999971"/>
    <x v="36"/>
  </r>
  <r>
    <x v="3"/>
    <x v="44"/>
    <x v="37"/>
    <d v="2023-09-15T00:00:00"/>
    <d v="2023-08-15T00:00:00"/>
    <d v="2023-09-01T00:00:00"/>
    <n v="0.23225481764721859"/>
    <n v="22"/>
    <n v="22"/>
    <n v="1.0023225481764722"/>
    <n v="1.0015414867672061"/>
    <n v="1.0013006446089134"/>
    <n v="1.0034298992021382"/>
    <n v="1.0086209331884304"/>
    <n v="6146.41"/>
    <n v="9259.26"/>
    <n v="15405.67"/>
    <n v="703703.6799999997"/>
    <x v="37"/>
  </r>
  <r>
    <x v="3"/>
    <x v="45"/>
    <x v="38"/>
    <d v="2023-10-16T00:00:00"/>
    <d v="2023-09-15T00:00:00"/>
    <d v="2023-10-01T00:00:00"/>
    <n v="0.23223108907134674"/>
    <n v="20"/>
    <n v="20"/>
    <n v="1.0023223108907136"/>
    <n v="1.0014012534722294"/>
    <n v="1.0011823343189774"/>
    <n v="1.0031176046646693"/>
    <n v="1.0080464823732123"/>
    <n v="5662.34"/>
    <n v="9259.26"/>
    <n v="14921.6"/>
    <n v="694444.41999999969"/>
    <x v="38"/>
  </r>
  <r>
    <x v="3"/>
    <x v="46"/>
    <x v="39"/>
    <d v="2023-11-16T00:00:00"/>
    <d v="2023-10-15T00:00:00"/>
    <d v="2023-11-01T00:00:00"/>
    <n v="0.23219909333895397"/>
    <n v="21"/>
    <n v="21"/>
    <n v="1.0023219909333896"/>
    <n v="1.0014713676651572"/>
    <n v="1.0012414877164493"/>
    <n v="1.0032737397821989"/>
    <n v="1.0083332256419038"/>
    <n v="5786.96"/>
    <n v="9259.26"/>
    <n v="15046.220000000001"/>
    <n v="685185.15999999968"/>
    <x v="39"/>
  </r>
  <r>
    <x v="3"/>
    <x v="47"/>
    <x v="40"/>
    <d v="2023-12-15T00:00:00"/>
    <d v="2023-11-15T00:00:00"/>
    <d v="2023-12-01T00:00:00"/>
    <n v="0.23216768773418431"/>
    <n v="21"/>
    <n v="21"/>
    <n v="1.0023216768773417"/>
    <n v="1.0014713676651572"/>
    <n v="1.0012414877164493"/>
    <n v="1.0032737397821989"/>
    <n v="1.008332909702365"/>
    <n v="5709.59"/>
    <n v="9259.26"/>
    <n v="14968.85"/>
    <n v="675925.89999999967"/>
    <x v="40"/>
  </r>
  <r>
    <x v="4"/>
    <x v="48"/>
    <x v="41"/>
    <d v="2024-01-15T00:00:00"/>
    <d v="2023-12-15T00:00:00"/>
    <d v="2024-01-01T00:00:00"/>
    <n v="0.23214693375520332"/>
    <n v="19"/>
    <n v="19"/>
    <n v="1.002321469337552"/>
    <n v="1.0013311441880792"/>
    <n v="1.0011231844162911"/>
    <n v="1.0029614938457672"/>
    <n v="1.0077586528354066"/>
    <n v="5244.27"/>
    <n v="9259.26"/>
    <n v="14503.53"/>
    <n v="666666.63999999966"/>
    <x v="41"/>
  </r>
  <r>
    <x v="4"/>
    <x v="49"/>
    <x v="42"/>
    <d v="2024-02-15T00:00:00"/>
    <d v="2024-01-15T00:00:00"/>
    <d v="2024-02-01T00:00:00"/>
    <n v="0.23214425344805587"/>
    <n v="21"/>
    <n v="21"/>
    <n v="1.0023214425344806"/>
    <n v="1.0014713676651572"/>
    <n v="1.0012414877164493"/>
    <n v="1.0032737397821989"/>
    <n v="1.0083326739540772"/>
    <n v="5555.12"/>
    <n v="9259.26"/>
    <n v="14814.380000000001"/>
    <n v="657407.37999999966"/>
    <x v="42"/>
  </r>
  <r>
    <x v="4"/>
    <x v="50"/>
    <x v="43"/>
    <d v="2024-03-15T00:00:00"/>
    <d v="2024-02-15T00:00:00"/>
    <d v="2024-03-01T00:00:00"/>
    <n v="0.23215589947294654"/>
    <n v="21"/>
    <n v="21"/>
    <n v="1.0023215589947294"/>
    <n v="1.0014713676651572"/>
    <n v="1.0012414877164493"/>
    <n v="1.0032737397821989"/>
    <n v="1.0083327911127742"/>
    <n v="5478.04"/>
    <n v="9259.26"/>
    <n v="14737.3"/>
    <n v="648148.11999999965"/>
    <x v="43"/>
  </r>
  <r>
    <x v="4"/>
    <x v="51"/>
    <x v="44"/>
    <d v="2024-04-15T00:00:00"/>
    <d v="2024-03-15T00:00:00"/>
    <d v="2024-04-01T00:00:00"/>
    <n v="0.23216970043800345"/>
    <n v="20"/>
    <n v="20"/>
    <n v="1.00232169700438"/>
    <n v="1.0014012534722294"/>
    <n v="1.0011823343189774"/>
    <n v="1.0031176046646693"/>
    <n v="1.0080458649810298"/>
    <n v="5214.91"/>
    <n v="9259.26"/>
    <n v="14474.17"/>
    <n v="638888.85999999964"/>
    <x v="44"/>
  </r>
  <r>
    <x v="4"/>
    <x v="52"/>
    <x v="45"/>
    <d v="2024-05-15T00:00:00"/>
    <d v="2024-04-15T00:00:00"/>
    <d v="2024-05-01T00:00:00"/>
    <n v="0.23218222423569132"/>
    <n v="21"/>
    <n v="21"/>
    <n v="1.0023218222423569"/>
    <n v="1.0014713676651572"/>
    <n v="1.0012414877164493"/>
    <n v="1.0032737397821989"/>
    <n v="1.0083330559391788"/>
    <n v="5323.9"/>
    <n v="9259.26"/>
    <n v="14583.16"/>
    <n v="629629.59999999963"/>
    <x v="45"/>
  </r>
  <r>
    <x v="4"/>
    <x v="53"/>
    <x v="46"/>
    <d v="2024-06-17T00:00:00"/>
    <d v="2024-05-15T00:00:00"/>
    <d v="2024-06-01T00:00:00"/>
    <n v="0.23219061730915116"/>
    <n v="22"/>
    <n v="22"/>
    <n v="1.0023219061730915"/>
    <n v="1.0015414867672061"/>
    <n v="1.0013006446089134"/>
    <n v="1.0034298992021382"/>
    <n v="1.0086202871508352"/>
    <n v="5427.59"/>
    <n v="9259.26"/>
    <n v="14686.85"/>
    <n v="620370.33999999962"/>
    <x v="46"/>
  </r>
  <r>
    <x v="4"/>
    <x v="54"/>
    <x v="47"/>
    <d v="2024-07-15T00:00:00"/>
    <d v="2024-06-15T00:00:00"/>
    <d v="2024-07-01T00:00:00"/>
    <n v="0.23219342383766753"/>
    <n v="20"/>
    <n v="20"/>
    <n v="1.0023219342383767"/>
    <n v="1.0014012534722294"/>
    <n v="1.0011823343189774"/>
    <n v="1.0031176046646693"/>
    <n v="1.0080461035698483"/>
    <n v="4991.5600000000004"/>
    <n v="9259.26"/>
    <n v="14250.82"/>
    <n v="611111.07999999961"/>
    <x v="47"/>
  </r>
  <r>
    <x v="4"/>
    <x v="55"/>
    <x v="48"/>
    <d v="2024-08-15T00:00:00"/>
    <d v="2024-07-15T00:00:00"/>
    <d v="2024-08-01T00:00:00"/>
    <n v="0.23219100254586664"/>
    <n v="23"/>
    <n v="23"/>
    <n v="1.0023219100254586"/>
    <n v="1.0016116107787196"/>
    <n v="1.0013598049965762"/>
    <n v="1.0035860829282697"/>
    <n v="1.0089075195779318"/>
    <n v="5443.48"/>
    <n v="9259.26"/>
    <n v="14702.74"/>
    <n v="601851.8199999996"/>
    <x v="48"/>
  </r>
  <r>
    <x v="4"/>
    <x v="56"/>
    <x v="49"/>
    <d v="2024-09-16T00:00:00"/>
    <d v="2024-08-15T00:00:00"/>
    <d v="2024-09-01T00:00:00"/>
    <n v="0.23218556190285744"/>
    <n v="22"/>
    <n v="22"/>
    <n v="1.0023218556190285"/>
    <n v="1.0015414867672061"/>
    <n v="1.0013006446089134"/>
    <n v="1.0034298992021382"/>
    <n v="1.0086202362791012"/>
    <n v="5188.1000000000004"/>
    <n v="9259.26"/>
    <n v="14447.36"/>
    <n v="592592.55999999959"/>
    <x v="49"/>
  </r>
  <r>
    <x v="4"/>
    <x v="57"/>
    <x v="50"/>
    <d v="2024-10-15T00:00:00"/>
    <d v="2024-09-15T00:00:00"/>
    <d v="2024-10-01T00:00:00"/>
    <n v="0.23217979059082736"/>
    <n v="21"/>
    <n v="21"/>
    <n v="1.0023217979059083"/>
    <n v="1.0014713676651572"/>
    <n v="1.0012414877164493"/>
    <n v="1.0032737397821989"/>
    <n v="1.0083330314567771"/>
    <n v="4938.09"/>
    <n v="9259.26"/>
    <n v="14197.35"/>
    <n v="583333.29999999958"/>
    <x v="50"/>
  </r>
  <r>
    <x v="4"/>
    <x v="58"/>
    <x v="51"/>
    <d v="2024-11-18T00:00:00"/>
    <d v="2024-10-15T00:00:00"/>
    <d v="2024-11-01T00:00:00"/>
    <n v="0.23217551571745074"/>
    <n v="23"/>
    <n v="23"/>
    <n v="1.0023217551571746"/>
    <n v="1.0016116107787196"/>
    <n v="1.0013598049965762"/>
    <n v="1.0035860829282697"/>
    <n v="1.0089073636921084"/>
    <n v="5195.96"/>
    <n v="9259.26"/>
    <n v="14455.220000000001"/>
    <n v="574074.03999999957"/>
    <x v="51"/>
  </r>
  <r>
    <x v="4"/>
    <x v="59"/>
    <x v="52"/>
    <d v="2024-12-16T00:00:00"/>
    <d v="2024-11-15T00:00:00"/>
    <d v="2024-12-01T00:00:00"/>
    <n v="0.23217355091565881"/>
    <n v="20"/>
    <n v="20"/>
    <n v="1.0023217355091565"/>
    <n v="1.0014012534722294"/>
    <n v="1.0011823343189774"/>
    <n v="1.0031176046646693"/>
    <n v="1.0080459037057037"/>
    <n v="4618.9399999999996"/>
    <n v="9259.26"/>
    <n v="13878.2"/>
    <n v="564814.77999999956"/>
    <x v="52"/>
  </r>
  <r>
    <x v="5"/>
    <x v="60"/>
    <x v="53"/>
    <d v="2025-01-15T00:00:00"/>
    <d v="2024-12-15T00:00:00"/>
    <d v="2025-01-01T00:00:00"/>
    <n v="0.23217403951411505"/>
    <n v="20"/>
    <n v="20"/>
    <n v="1.0023217403951412"/>
    <n v="1.0014012534722294"/>
    <n v="1.0011823343189774"/>
    <n v="1.0031176046646693"/>
    <n v="1.0080459086195919"/>
    <n v="4544.45"/>
    <n v="9259.26"/>
    <n v="13803.71"/>
    <n v="555555.51999999955"/>
    <x v="53"/>
  </r>
  <r>
    <x v="5"/>
    <x v="61"/>
    <x v="54"/>
    <d v="2025-02-17T00:00:00"/>
    <d v="2025-01-15T00:00:00"/>
    <d v="2025-02-01T00:00:00"/>
    <n v="0.23217629832735767"/>
    <n v="23"/>
    <n v="23"/>
    <n v="1.0023217629832735"/>
    <n v="1.0016116107787196"/>
    <n v="1.0013598049965762"/>
    <n v="1.0035860829282697"/>
    <n v="1.0089073715696275"/>
    <n v="4948.54"/>
    <n v="9259.26"/>
    <n v="14207.8"/>
    <n v="546296.25999999954"/>
    <x v="54"/>
  </r>
  <r>
    <x v="5"/>
    <x v="62"/>
    <x v="55"/>
    <d v="2025-03-17T00:00:00"/>
    <d v="2025-02-15T00:00:00"/>
    <d v="2025-03-01T00:00:00"/>
    <n v="0.23217896873396618"/>
    <n v="18"/>
    <n v="18"/>
    <n v="1.0023217896873398"/>
    <n v="1.0012610398123627"/>
    <n v="1.0010640380081841"/>
    <n v="1.0028054073217112"/>
    <n v="1.0074720733546545"/>
    <n v="4081.97"/>
    <n v="9259.26"/>
    <n v="13341.23"/>
    <n v="537036.99999999953"/>
    <x v="55"/>
  </r>
  <r>
    <x v="5"/>
    <x v="63"/>
    <x v="56"/>
    <d v="2025-04-15T00:00:00"/>
    <d v="2025-03-15T00:00:00"/>
    <d v="2025-04-01T00:00:00"/>
    <n v="0.23218089117238447"/>
    <n v="21"/>
    <n v="21"/>
    <n v="1.0023218089117238"/>
    <n v="1.0014713676651572"/>
    <n v="1.0012414877164493"/>
    <n v="1.0032737397821989"/>
    <n v="1.0083330425285981"/>
    <n v="4475.1499999999996"/>
    <n v="9259.26"/>
    <n v="13734.41"/>
    <n v="527777.73999999953"/>
    <x v="56"/>
  </r>
  <r>
    <x v="5"/>
    <x v="64"/>
    <x v="57"/>
    <d v="2025-05-15T00:00:00"/>
    <d v="2025-04-15T00:00:00"/>
    <d v="2025-05-01T00:00:00"/>
    <n v="0.23218182373358287"/>
    <n v="19"/>
    <n v="19"/>
    <n v="1.0023218182373359"/>
    <n v="1.0013311441880792"/>
    <n v="1.0011231844162911"/>
    <n v="1.0029614938457672"/>
    <n v="1.0077590036278292"/>
    <n v="4095.03"/>
    <n v="9259.26"/>
    <n v="13354.29"/>
    <n v="518518.47999999952"/>
    <x v="57"/>
  </r>
  <r>
    <x v="5"/>
    <x v="65"/>
    <x v="58"/>
    <d v="2025-06-16T00:00:00"/>
    <d v="2025-05-15T00:00:00"/>
    <d v="2025-06-01T00:00:00"/>
    <n v="0.23218179035840714"/>
    <n v="22"/>
    <n v="22"/>
    <n v="1.002321817903584"/>
    <n v="1.0015414867672061"/>
    <n v="1.0013006446089134"/>
    <n v="1.0034298992021382"/>
    <n v="1.0086201983266605"/>
    <n v="4469.7299999999996"/>
    <n v="9259.26"/>
    <n v="13728.99"/>
    <n v="509259.21999999951"/>
    <x v="58"/>
  </r>
  <r>
    <x v="5"/>
    <x v="66"/>
    <x v="59"/>
    <d v="2025-07-15T00:00:00"/>
    <d v="2025-06-15T00:00:00"/>
    <d v="2025-07-01T00:00:00"/>
    <n v="0.2321810547791785"/>
    <n v="20"/>
    <n v="20"/>
    <n v="1.0023218105477918"/>
    <n v="1.0014012534722294"/>
    <n v="1.0011823343189774"/>
    <n v="1.0031176046646693"/>
    <n v="1.0080459791728777"/>
    <n v="4097.49"/>
    <n v="9259.26"/>
    <n v="13356.75"/>
    <n v="499999.9599999995"/>
    <x v="59"/>
  </r>
  <r>
    <x v="5"/>
    <x v="67"/>
    <x v="60"/>
    <d v="2025-08-15T00:00:00"/>
    <d v="2025-07-15T00:00:00"/>
    <d v="2025-08-01T00:00:00"/>
    <n v="0.23218002402430438"/>
    <n v="23"/>
    <n v="23"/>
    <n v="1.002321800240243"/>
    <n v="1.0016116107787196"/>
    <n v="1.0013598049965762"/>
    <n v="1.0035860829282697"/>
    <n v="1.0089074090713885"/>
    <n v="4453.7"/>
    <n v="9259.26"/>
    <n v="13712.96"/>
    <n v="490740.69999999949"/>
    <x v="60"/>
  </r>
  <r>
    <x v="5"/>
    <x v="68"/>
    <x v="61"/>
    <d v="2025-09-15T00:00:00"/>
    <d v="2025-08-15T00:00:00"/>
    <d v="2025-09-01T00:00:00"/>
    <n v="0.2321791091475075"/>
    <n v="21"/>
    <n v="21"/>
    <n v="1.002321791091475"/>
    <n v="1.0014713676651572"/>
    <n v="1.0012414877164493"/>
    <n v="1.0032737397821989"/>
    <n v="1.0083330246014757"/>
    <n v="4089.35"/>
    <n v="9259.26"/>
    <n v="13348.61"/>
    <n v="481481.43999999948"/>
    <x v="61"/>
  </r>
  <r>
    <x v="5"/>
    <x v="69"/>
    <x v="62"/>
    <d v="2025-10-15T00:00:00"/>
    <d v="2025-09-15T00:00:00"/>
    <d v="2025-10-01T00:00:00"/>
    <n v="0.23217857141789502"/>
    <n v="22"/>
    <n v="22"/>
    <n v="1.0023217857141788"/>
    <n v="1.0015414867672061"/>
    <n v="1.0013006446089134"/>
    <n v="1.0034298992021382"/>
    <n v="1.008620165934984"/>
    <n v="4150.45"/>
    <n v="9259.26"/>
    <n v="13409.71"/>
    <n v="472222.17999999947"/>
    <x v="62"/>
  </r>
  <r>
    <x v="5"/>
    <x v="70"/>
    <x v="63"/>
    <d v="2025-11-17T00:00:00"/>
    <d v="2025-10-15T00:00:00"/>
    <d v="2025-11-01T00:00:00"/>
    <n v="0.23217846982015067"/>
    <n v="23"/>
    <n v="23"/>
    <n v="1.0023217846982015"/>
    <n v="1.0016116107787196"/>
    <n v="1.0013598049965762"/>
    <n v="1.0035860829282697"/>
    <n v="1.0089073934272301"/>
    <n v="4206.2700000000004"/>
    <n v="9259.26"/>
    <n v="13465.53"/>
    <n v="462962.91999999946"/>
    <x v="63"/>
  </r>
  <r>
    <x v="5"/>
    <x v="71"/>
    <x v="64"/>
    <d v="2025-12-15T00:00:00"/>
    <d v="2025-11-15T00:00:00"/>
    <d v="2025-12-01T00:00:00"/>
    <n v="0.23217871599537565"/>
    <n v="20"/>
    <n v="20"/>
    <n v="1.0023217871599537"/>
    <n v="1.0014012534722294"/>
    <n v="1.0011823343189774"/>
    <n v="1.0031176046646693"/>
    <n v="1.008045955651474"/>
    <n v="3724.98"/>
    <n v="9259.26"/>
    <n v="12984.24"/>
    <n v="453703.65999999945"/>
    <x v="64"/>
  </r>
  <r>
    <x v="6"/>
    <x v="72"/>
    <x v="65"/>
    <d v="2026-01-15T00:00:00"/>
    <d v="2025-12-15T00:00:00"/>
    <d v="2026-01-01T00:00:00"/>
    <n v="0.23217914641868542"/>
    <n v="21"/>
    <n v="21"/>
    <n v="1.0023217914641869"/>
    <n v="1.0014713676651572"/>
    <n v="1.0012414877164493"/>
    <n v="1.0032737397821989"/>
    <n v="1.0083330249764226"/>
    <n v="3780.72"/>
    <n v="9259.26"/>
    <n v="13039.98"/>
    <n v="444444.39999999944"/>
    <x v="65"/>
  </r>
  <r>
    <x v="6"/>
    <x v="73"/>
    <x v="66"/>
    <d v="2026-02-18T00:00:00"/>
    <d v="2026-01-15T00:00:00"/>
    <d v="2026-02-01T00:00:00"/>
    <n v="0.23217957199406627"/>
    <n v="22"/>
    <n v="22"/>
    <n v="1.0023217957199406"/>
    <n v="1.0015414867672061"/>
    <n v="1.0013006446089134"/>
    <n v="1.0034298992021382"/>
    <n v="1.0086201760036198"/>
    <n v="3831.19"/>
    <n v="9259.26"/>
    <n v="13090.45"/>
    <n v="435185.13999999943"/>
    <x v="66"/>
  </r>
  <r>
    <x v="6"/>
    <x v="74"/>
    <x v="67"/>
    <d v="2026-03-16T00:00:00"/>
    <d v="2026-02-15T00:00:00"/>
    <d v="2026-03-01T00:00:00"/>
    <n v="0.23217984479962531"/>
    <n v="18"/>
    <n v="18"/>
    <n v="1.0023217984479962"/>
    <n v="1.0012610398123627"/>
    <n v="1.0010640380081841"/>
    <n v="1.0028054073217112"/>
    <n v="1.0074720821603262"/>
    <n v="3251.74"/>
    <n v="9259.26"/>
    <n v="12511"/>
    <n v="425925.87999999942"/>
    <x v="67"/>
  </r>
  <r>
    <x v="6"/>
    <x v="75"/>
    <x v="68"/>
    <d v="2026-04-15T00:00:00"/>
    <d v="2026-03-15T00:00:00"/>
    <d v="2026-04-01T00:00:00"/>
    <n v="0.23217991780509692"/>
    <n v="21"/>
    <n v="21"/>
    <n v="1.0023217991780509"/>
    <n v="1.0014713676651572"/>
    <n v="1.0012414877164493"/>
    <n v="1.0032737397821989"/>
    <n v="1.0083330327365492"/>
    <n v="3549.25"/>
    <n v="9259.26"/>
    <n v="12808.51"/>
    <n v="416666.61999999941"/>
    <x v="68"/>
  </r>
  <r>
    <x v="6"/>
    <x v="76"/>
    <x v="69"/>
    <d v="2026-05-15T00:00:00"/>
    <d v="2026-04-15T00:00:00"/>
    <d v="2026-05-01T00:00:00"/>
    <n v="0.23217983669115627"/>
    <n v="20"/>
    <n v="20"/>
    <n v="1.0023217983669115"/>
    <n v="1.0014012534722294"/>
    <n v="1.0011823343189774"/>
    <n v="1.0031176046646693"/>
    <n v="1.0080459669224335"/>
    <n v="3352.49"/>
    <n v="9259.26"/>
    <n v="12611.75"/>
    <n v="407407.3599999994"/>
    <x v="69"/>
  </r>
  <r>
    <x v="6"/>
    <x v="77"/>
    <x v="70"/>
    <d v="2026-06-15T00:00:00"/>
    <d v="2026-05-15T00:00:00"/>
    <d v="2026-06-01T00:00:00"/>
    <n v="0.23217967110428742"/>
    <n v="20"/>
    <n v="20"/>
    <n v="1.0023217967110429"/>
    <n v="1.0014012534722294"/>
    <n v="1.0011823343189774"/>
    <n v="1.0031176046646693"/>
    <n v="1.0080459652571083"/>
    <n v="3277.99"/>
    <n v="9259.26"/>
    <n v="12537.25"/>
    <n v="398148.09999999939"/>
    <x v="70"/>
  </r>
  <r>
    <x v="6"/>
    <x v="78"/>
    <x v="71"/>
    <d v="2026-07-15T00:00:00"/>
    <d v="2026-06-15T00:00:00"/>
    <d v="2026-07-01T00:00:00"/>
    <n v="0.23217949449977746"/>
    <n v="22"/>
    <n v="22"/>
    <n v="1.0023217949449978"/>
    <n v="1.0015414867672061"/>
    <n v="1.0013006446089134"/>
    <n v="1.0034298992021382"/>
    <n v="1.0086201752238075"/>
    <n v="3432.11"/>
    <n v="9259.26"/>
    <n v="12691.37"/>
    <n v="388888.83999999939"/>
    <x v="71"/>
  </r>
  <r>
    <x v="6"/>
    <x v="79"/>
    <x v="72"/>
    <d v="2026-08-17T00:00:00"/>
    <d v="2026-07-15T00:00:00"/>
    <d v="2026-08-01T00:00:00"/>
    <n v="0.23217936447649401"/>
    <n v="23"/>
    <n v="23"/>
    <n v="1.002321793644765"/>
    <n v="1.0016116107787196"/>
    <n v="1.0013598049965762"/>
    <n v="1.0035860829282697"/>
    <n v="1.0089074024325759"/>
    <n v="3463.99"/>
    <n v="9259.26"/>
    <n v="12723.25"/>
    <n v="379629.57999999938"/>
    <x v="72"/>
  </r>
  <r>
    <x v="6"/>
    <x v="80"/>
    <x v="73"/>
    <d v="2026-09-15T00:00:00"/>
    <d v="2026-08-15T00:00:00"/>
    <d v="2026-09-01T00:00:00"/>
    <n v="0.23217930951417651"/>
    <n v="20"/>
    <n v="20"/>
    <n v="1.0023217930951418"/>
    <n v="1.0014012534722294"/>
    <n v="1.0011823343189774"/>
    <n v="1.0031176046646693"/>
    <n v="1.0080459616205575"/>
    <n v="3054.49"/>
    <n v="9259.26"/>
    <n v="12313.75"/>
    <n v="370370.31999999937"/>
    <x v="73"/>
  </r>
  <r>
    <x v="6"/>
    <x v="81"/>
    <x v="74"/>
    <d v="2026-10-15T00:00:00"/>
    <d v="2026-09-15T00:00:00"/>
    <d v="2026-10-01T00:00:00"/>
    <n v="0.23217932621139892"/>
    <n v="21"/>
    <n v="21"/>
    <n v="1.002321793262114"/>
    <n v="1.0014713676651572"/>
    <n v="1.0012414877164493"/>
    <n v="1.0032737397821989"/>
    <n v="1.0083330267851325"/>
    <n v="3086.31"/>
    <n v="9259.26"/>
    <n v="12345.57"/>
    <n v="361111.05999999936"/>
    <x v="74"/>
  </r>
  <r>
    <x v="6"/>
    <x v="82"/>
    <x v="75"/>
    <d v="2026-11-16T00:00:00"/>
    <d v="2026-10-15T00:00:00"/>
    <d v="2026-11-01T00:00:00"/>
    <n v="0.23217938911085753"/>
    <n v="21"/>
    <n v="21"/>
    <n v="1.0023217938911086"/>
    <n v="1.0014713676651572"/>
    <n v="1.0012414877164493"/>
    <n v="1.0032737397821989"/>
    <n v="1.0083330274178994"/>
    <n v="3009.15"/>
    <n v="9259.26"/>
    <n v="12268.41"/>
    <n v="351851.79999999935"/>
    <x v="75"/>
  </r>
  <r>
    <x v="6"/>
    <x v="83"/>
    <x v="76"/>
    <d v="2026-12-15T00:00:00"/>
    <d v="2026-11-15T00:00:00"/>
    <d v="2026-12-01T00:00:00"/>
    <n v="0.23217946571841649"/>
    <n v="21"/>
    <n v="21"/>
    <n v="1.0023217946571841"/>
    <n v="1.0014713676651572"/>
    <n v="1.0012414877164493"/>
    <n v="1.0032737397821989"/>
    <n v="1.0083330281885694"/>
    <n v="2931.99"/>
    <n v="9259.26"/>
    <n v="12191.25"/>
    <n v="342592.53999999934"/>
    <x v="76"/>
  </r>
  <r>
    <x v="7"/>
    <x v="84"/>
    <x v="77"/>
    <d v="2027-01-15T00:00:00"/>
    <d v="2026-12-15T00:00:00"/>
    <d v="2027-01-01T00:00:00"/>
    <n v="0.23217952819533652"/>
    <n v="21"/>
    <n v="21"/>
    <n v="1.0023217952819534"/>
    <n v="1.0014713676651572"/>
    <n v="1.0012414877164493"/>
    <n v="1.0032737397821989"/>
    <n v="1.0083330288170855"/>
    <n v="2854.83"/>
    <n v="9259.26"/>
    <n v="12114.09"/>
    <n v="333333.27999999933"/>
    <x v="77"/>
  </r>
  <r>
    <x v="7"/>
    <x v="85"/>
    <x v="78"/>
    <d v="2027-02-15T00:00:00"/>
    <d v="2027-01-15T00:00:00"/>
    <d v="2027-02-01T00:00:00"/>
    <n v="0.23217956001005749"/>
    <n v="19"/>
    <n v="19"/>
    <n v="1.0023217956001005"/>
    <n v="1.0013311441880792"/>
    <n v="1.0011231844162911"/>
    <n v="1.0029614938457672"/>
    <n v="1.007758980867796"/>
    <n v="2586.33"/>
    <n v="9259.26"/>
    <n v="11845.59"/>
    <n v="324074.01999999932"/>
    <x v="78"/>
  </r>
  <r>
    <x v="7"/>
    <x v="86"/>
    <x v="79"/>
    <d v="2027-03-15T00:00:00"/>
    <d v="2027-02-15T00:00:00"/>
    <d v="2027-03-01T00:00:00"/>
    <n v="0.23217955901139009"/>
    <n v="20"/>
    <n v="20"/>
    <n v="1.0023217955901138"/>
    <n v="1.0014012534722294"/>
    <n v="1.0011823343189774"/>
    <n v="1.0031176046646693"/>
    <n v="1.0080459641297779"/>
    <n v="2607.4899999999998"/>
    <n v="9259.26"/>
    <n v="11866.75"/>
    <n v="314814.75999999931"/>
    <x v="79"/>
  </r>
  <r>
    <x v="7"/>
    <x v="87"/>
    <x v="80"/>
    <d v="2027-04-15T00:00:00"/>
    <d v="2027-03-15T00:00:00"/>
    <d v="2027-04-01T00:00:00"/>
    <n v="0.23217953519570378"/>
    <n v="22"/>
    <n v="22"/>
    <n v="1.002321795351957"/>
    <n v="1.0015414867672061"/>
    <n v="1.0013006446089134"/>
    <n v="1.0034298992021382"/>
    <n v="1.0086201756333237"/>
    <n v="2713.76"/>
    <n v="9259.26"/>
    <n v="11973.02"/>
    <n v="305555.4999999993"/>
    <x v="80"/>
  </r>
  <r>
    <x v="7"/>
    <x v="88"/>
    <x v="81"/>
    <d v="2027-05-17T00:00:00"/>
    <d v="2027-04-15T00:00:00"/>
    <d v="2027-05-01T00:00:00"/>
    <n v="0.23217950331158765"/>
    <n v="21"/>
    <n v="21"/>
    <n v="1.0023217950331158"/>
    <n v="1.0014713676651572"/>
    <n v="1.0012414877164493"/>
    <n v="1.0032737397821989"/>
    <n v="1.0083330285667558"/>
    <n v="2546.1999999999998"/>
    <n v="9259.26"/>
    <n v="11805.46"/>
    <n v="296296.23999999929"/>
    <x v="81"/>
  </r>
  <r>
    <x v="7"/>
    <x v="89"/>
    <x v="82"/>
    <d v="2027-06-15T00:00:00"/>
    <d v="2027-05-15T00:00:00"/>
    <d v="2027-06-01T00:00:00"/>
    <n v="0.23217947552995696"/>
    <n v="20"/>
    <n v="20"/>
    <n v="1.0023217947552996"/>
    <n v="1.0014012534722294"/>
    <n v="1.0011823343189774"/>
    <n v="1.0031176046646693"/>
    <n v="1.0080459632901959"/>
    <n v="2383.9899999999998"/>
    <n v="9259.26"/>
    <n v="11643.25"/>
    <n v="287036.97999999928"/>
    <x v="82"/>
  </r>
  <r>
    <x v="7"/>
    <x v="90"/>
    <x v="83"/>
    <d v="2027-07-15T00:00:00"/>
    <d v="2027-06-15T00:00:00"/>
    <d v="2027-07-01T00:00:00"/>
    <n v="0.23217945923209612"/>
    <n v="22"/>
    <n v="22"/>
    <n v="1.0023217945923211"/>
    <n v="1.0015414867672061"/>
    <n v="1.0013006446089134"/>
    <n v="1.0034298992021382"/>
    <n v="1.0086201748689148"/>
    <n v="2474.31"/>
    <n v="9259.26"/>
    <n v="11733.57"/>
    <n v="277777.71999999927"/>
    <x v="83"/>
  </r>
  <r>
    <x v="7"/>
    <x v="91"/>
    <x v="84"/>
    <d v="2027-08-16T00:00:00"/>
    <d v="2027-07-15T00:00:00"/>
    <d v="2027-08-01T00:00:00"/>
    <n v="0.23217945629312267"/>
    <n v="22"/>
    <n v="22"/>
    <n v="1.0023217945629312"/>
    <n v="1.0015414867672061"/>
    <n v="1.0013006446089134"/>
    <n v="1.0034298992021382"/>
    <n v="1.00862017483934"/>
    <n v="2394.4899999999998"/>
    <n v="9259.26"/>
    <n v="11653.75"/>
    <n v="268518.45999999926"/>
    <x v="84"/>
  </r>
  <r>
    <x v="7"/>
    <x v="92"/>
    <x v="85"/>
    <d v="2027-09-15T00:00:00"/>
    <d v="2027-08-15T00:00:00"/>
    <d v="2027-09-01T00:00:00"/>
    <n v="0.23217946394450842"/>
    <n v="21"/>
    <n v="21"/>
    <n v="1.0023217946394452"/>
    <n v="1.0014713676651572"/>
    <n v="1.0012414877164493"/>
    <n v="1.0032737397821989"/>
    <n v="1.0083330281707241"/>
    <n v="2237.5700000000002"/>
    <n v="9259.26"/>
    <n v="11496.83"/>
    <n v="259259.19999999925"/>
    <x v="85"/>
  </r>
  <r>
    <x v="7"/>
    <x v="93"/>
    <x v="86"/>
    <d v="2027-10-15T00:00:00"/>
    <d v="2027-09-15T00:00:00"/>
    <d v="2027-10-01T00:00:00"/>
    <n v="0.23217947681370274"/>
    <n v="21"/>
    <n v="21"/>
    <n v="1.0023217947681371"/>
    <n v="1.0014713676651572"/>
    <n v="1.0012414877164493"/>
    <n v="1.0032737397821989"/>
    <n v="1.0083330283001877"/>
    <n v="2160.41"/>
    <n v="9259.26"/>
    <n v="11419.67"/>
    <n v="249999.93999999925"/>
    <x v="86"/>
  </r>
  <r>
    <x v="7"/>
    <x v="94"/>
    <x v="87"/>
    <d v="2027-11-16T00:00:00"/>
    <d v="2027-10-15T00:00:00"/>
    <d v="2027-11-01T00:00:00"/>
    <n v="0.23217948936389474"/>
    <n v="20"/>
    <n v="20"/>
    <n v="1.0023217948936389"/>
    <n v="1.0014012534722294"/>
    <n v="1.0011823343189774"/>
    <n v="1.0031176046646693"/>
    <n v="1.0080459634293255"/>
    <n v="2011.49"/>
    <n v="9259.26"/>
    <n v="11270.75"/>
    <n v="240740.67999999924"/>
    <x v="87"/>
  </r>
  <r>
    <x v="7"/>
    <x v="95"/>
    <x v="88"/>
    <d v="2027-12-15T00:00:00"/>
    <d v="2027-11-15T00:00:00"/>
    <d v="2027-12-01T00:00:00"/>
    <n v="0.23217949771831445"/>
    <n v="21"/>
    <n v="21"/>
    <n v="1.0023217949771832"/>
    <n v="1.0014713676651572"/>
    <n v="1.0012414877164493"/>
    <n v="1.0032737397821989"/>
    <n v="1.0083330285104877"/>
    <n v="2006.1"/>
    <n v="9259.26"/>
    <n v="11265.36"/>
    <n v="231481.41999999923"/>
    <x v="88"/>
  </r>
  <r>
    <x v="8"/>
    <x v="96"/>
    <x v="89"/>
    <d v="2028-01-17T00:00:00"/>
    <d v="2027-12-15T00:00:00"/>
    <d v="2028-01-01T00:00:00"/>
    <n v="0.23217950038497262"/>
    <n v="23"/>
    <n v="23"/>
    <n v="1.0023217950038497"/>
    <n v="1.0016116107787196"/>
    <n v="1.0013598049965762"/>
    <n v="1.0035860829282697"/>
    <n v="1.0089074038005901"/>
    <n v="2061.9"/>
    <n v="9259.26"/>
    <n v="11321.16"/>
    <n v="222222.15999999922"/>
    <x v="89"/>
  </r>
  <r>
    <x v="8"/>
    <x v="97"/>
    <x v="90"/>
    <d v="2028-02-15T00:00:00"/>
    <d v="2028-01-15T00:00:00"/>
    <d v="2028-02-01T00:00:00"/>
    <n v="0.23217949806744231"/>
    <n v="21"/>
    <n v="21"/>
    <n v="1.0023217949806744"/>
    <n v="1.0014713676651572"/>
    <n v="1.0012414877164493"/>
    <n v="1.0032737397821989"/>
    <n v="1.0083330285139995"/>
    <n v="1851.78"/>
    <n v="9259.26"/>
    <n v="11111.04"/>
    <n v="212962.89999999921"/>
    <x v="90"/>
  </r>
  <r>
    <x v="8"/>
    <x v="98"/>
    <x v="91"/>
    <d v="2028-03-15T00:00:00"/>
    <d v="2028-02-15T00:00:00"/>
    <d v="2028-03-01T00:00:00"/>
    <n v="0.23217949290555773"/>
    <n v="19"/>
    <n v="19"/>
    <n v="1.0023217949290555"/>
    <n v="1.0013311441880792"/>
    <n v="1.0011231844162911"/>
    <n v="1.0029614938457672"/>
    <n v="1.0077589801931108"/>
    <n v="1652.37"/>
    <n v="9259.26"/>
    <n v="10911.630000000001"/>
    <n v="203703.6399999992"/>
    <x v="91"/>
  </r>
  <r>
    <x v="8"/>
    <x v="99"/>
    <x v="92"/>
    <d v="2028-04-17T00:00:00"/>
    <d v="2028-03-15T00:00:00"/>
    <d v="2028-04-01T00:00:00"/>
    <n v="0.23217948739673833"/>
    <n v="22"/>
    <n v="22"/>
    <n v="1.0023217948739673"/>
    <n v="1.0015414867672061"/>
    <n v="1.0013006446089134"/>
    <n v="1.0034298992021382"/>
    <n v="1.0086201751523307"/>
    <n v="1755.96"/>
    <n v="9259.26"/>
    <n v="11015.220000000001"/>
    <n v="194444.37999999919"/>
    <x v="92"/>
  </r>
  <r>
    <x v="8"/>
    <x v="100"/>
    <x v="93"/>
    <d v="2028-05-15T00:00:00"/>
    <d v="2028-04-15T00:00:00"/>
    <d v="2028-05-01T00:00:00"/>
    <n v="0.23217948341349123"/>
    <n v="18"/>
    <n v="18"/>
    <n v="1.002321794834135"/>
    <n v="1.0012610398123627"/>
    <n v="1.0010640380081841"/>
    <n v="1.0028054073217112"/>
    <n v="1.0074720785278959"/>
    <n v="1452.9"/>
    <n v="9259.26"/>
    <n v="10712.16"/>
    <n v="185185.11999999918"/>
    <x v="93"/>
  </r>
  <r>
    <x v="8"/>
    <x v="101"/>
    <x v="94"/>
    <d v="2028-06-16T00:00:00"/>
    <d v="2028-05-15T00:00:00"/>
    <d v="2028-06-01T00:00:00"/>
    <n v="0.23217948175531655"/>
    <n v="23"/>
    <n v="23"/>
    <n v="1.0023217948175531"/>
    <n v="1.0016116107787196"/>
    <n v="1.0013598049965762"/>
    <n v="1.0035860829282697"/>
    <n v="1.0089074036130696"/>
    <n v="1649.52"/>
    <n v="9259.26"/>
    <n v="10908.78"/>
    <n v="175925.85999999917"/>
    <x v="94"/>
  </r>
  <r>
    <x v="8"/>
    <x v="102"/>
    <x v="95"/>
    <d v="2028-07-17T00:00:00"/>
    <d v="2028-06-15T00:00:00"/>
    <d v="2028-07-01T00:00:00"/>
    <n v="0.23217948227409649"/>
    <n v="21"/>
    <n v="21"/>
    <n v="1.002321794822741"/>
    <n v="1.0014713676651572"/>
    <n v="1.0012414877164493"/>
    <n v="1.0032737397821989"/>
    <n v="1.0083330283551193"/>
    <n v="1466"/>
    <n v="9259.26"/>
    <n v="10725.26"/>
    <n v="166666.59999999916"/>
    <x v="95"/>
  </r>
  <r>
    <x v="8"/>
    <x v="103"/>
    <x v="96"/>
    <d v="2028-08-15T00:00:00"/>
    <d v="2028-07-15T00:00:00"/>
    <d v="2028-08-01T00:00:00"/>
    <n v="0.23217948419426324"/>
    <n v="21"/>
    <n v="21"/>
    <n v="1.0023217948419427"/>
    <n v="1.0014713676651572"/>
    <n v="1.0012414877164493"/>
    <n v="1.0032737397821989"/>
    <n v="1.0083330283744358"/>
    <n v="1388.84"/>
    <n v="9259.26"/>
    <n v="10648.1"/>
    <n v="157407.33999999915"/>
    <x v="96"/>
  </r>
  <r>
    <x v="8"/>
    <x v="104"/>
    <x v="97"/>
    <d v="2028-09-15T00:00:00"/>
    <d v="2028-08-15T00:00:00"/>
    <d v="2028-09-01T00:00:00"/>
    <n v="0.23217948651935827"/>
    <n v="22"/>
    <n v="22"/>
    <n v="1.0023217948651937"/>
    <n v="1.0015414867672061"/>
    <n v="1.0013006446089134"/>
    <n v="1.0034298992021382"/>
    <n v="1.0086201751435018"/>
    <n v="1356.88"/>
    <n v="9259.26"/>
    <n v="10616.14"/>
    <n v="148148.07999999914"/>
    <x v="97"/>
  </r>
  <r>
    <x v="8"/>
    <x v="105"/>
    <x v="98"/>
    <d v="2028-10-16T00:00:00"/>
    <d v="2028-09-15T00:00:00"/>
    <d v="2028-10-01T00:00:00"/>
    <n v="0.23217948840059574"/>
    <n v="20"/>
    <n v="20"/>
    <n v="1.002321794884006"/>
    <n v="1.0014012534722294"/>
    <n v="1.0011823343189774"/>
    <n v="1.0031176046646693"/>
    <n v="1.0080459634196375"/>
    <n v="1191.99"/>
    <n v="9259.25"/>
    <n v="10451.24"/>
    <n v="138888.82999999914"/>
    <x v="98"/>
  </r>
  <r>
    <x v="8"/>
    <x v="106"/>
    <x v="99"/>
    <d v="2028-11-16T00:00:00"/>
    <d v="2028-10-15T00:00:00"/>
    <d v="2028-11-01T00:00:00"/>
    <n v="0.23217948936617017"/>
    <n v="21"/>
    <n v="21"/>
    <n v="1.0023217948936618"/>
    <n v="1.0014713676651572"/>
    <n v="1.0012414877164493"/>
    <n v="1.0032737397821989"/>
    <n v="1.0083330284264653"/>
    <n v="1157.3599999999999"/>
    <n v="9259.26"/>
    <n v="10416.620000000001"/>
    <n v="129629.56999999915"/>
    <x v="99"/>
  </r>
  <r>
    <x v="8"/>
    <x v="107"/>
    <x v="100"/>
    <d v="2028-12-15T00:00:00"/>
    <d v="2028-11-15T00:00:00"/>
    <d v="2028-12-01T00:00:00"/>
    <n v="0.23217948936635979"/>
    <n v="21"/>
    <n v="21"/>
    <n v="1.0023217948936636"/>
    <n v="1.0014713676651572"/>
    <n v="1.0012414877164493"/>
    <n v="1.0032737397821989"/>
    <n v="1.0083330284264671"/>
    <n v="1080.21"/>
    <n v="9259.25"/>
    <n v="10339.459999999999"/>
    <n v="120370.31999999915"/>
    <x v="100"/>
  </r>
  <r>
    <x v="9"/>
    <x v="108"/>
    <x v="101"/>
    <d v="2029-01-15T00:00:00"/>
    <d v="2028-12-15T00:00:00"/>
    <d v="2029-01-01T00:00:00"/>
    <n v="0.23217948867036353"/>
    <n v="19"/>
    <n v="19"/>
    <n v="1.0023217948867036"/>
    <n v="1.0013311441880792"/>
    <n v="1.0011231844162911"/>
    <n v="1.0029614938457672"/>
    <n v="1.0077589801505291"/>
    <n v="933.95"/>
    <n v="9259.26"/>
    <n v="10193.210000000001"/>
    <n v="111111.05999999915"/>
    <x v="101"/>
  </r>
  <r>
    <x v="9"/>
    <x v="109"/>
    <x v="102"/>
    <d v="2029-02-15T00:00:00"/>
    <d v="2029-01-15T00:00:00"/>
    <d v="2029-02-01T00:00:00"/>
    <n v="0.23217948769414612"/>
    <n v="21"/>
    <n v="21"/>
    <n v="1.0023217948769414"/>
    <n v="1.0014713676651572"/>
    <n v="1.0012414877164493"/>
    <n v="1.0032737397821989"/>
    <n v="1.0083330284096446"/>
    <n v="925.89"/>
    <n v="9259.25"/>
    <n v="10185.14"/>
    <n v="101851.80999999915"/>
    <x v="102"/>
  </r>
  <r>
    <x v="9"/>
    <x v="110"/>
    <x v="103"/>
    <d v="2029-03-15T00:00:00"/>
    <d v="2029-02-15T00:00:00"/>
    <d v="2029-03-01T00:00:00"/>
    <n v="0.2321794868297048"/>
    <n v="20"/>
    <n v="20"/>
    <n v="1.002321794868297"/>
    <n v="1.0014012534722294"/>
    <n v="1.0011823343189774"/>
    <n v="1.0031176046646693"/>
    <n v="1.0080459634038386"/>
    <n v="819.5"/>
    <n v="9259.26"/>
    <n v="10078.76"/>
    <n v="92592.549999999159"/>
    <x v="103"/>
  </r>
  <r>
    <x v="9"/>
    <x v="111"/>
    <x v="104"/>
    <d v="2029-04-16T00:00:00"/>
    <d v="2029-03-15T00:00:00"/>
    <d v="2029-04-01T00:00:00"/>
    <n v="0.2321794863233837"/>
    <n v="21"/>
    <n v="21"/>
    <n v="1.0023217948632339"/>
    <n v="1.0014713676651572"/>
    <n v="1.0012414877164493"/>
    <n v="1.0032737397821989"/>
    <n v="1.0083330283958549"/>
    <n v="771.58"/>
    <n v="9259.25"/>
    <n v="10030.83"/>
    <n v="83333.299999999159"/>
    <x v="104"/>
  </r>
  <r>
    <x v="9"/>
    <x v="112"/>
    <x v="105"/>
    <d v="2029-05-15T00:00:00"/>
    <d v="2029-04-15T00:00:00"/>
    <d v="2029-05-01T00:00:00"/>
    <n v="0.23217948623393747"/>
    <n v="20"/>
    <n v="20"/>
    <n v="1.0023217948623393"/>
    <n v="1.0014012534722294"/>
    <n v="1.0011823343189774"/>
    <n v="1.0031176046646693"/>
    <n v="1.0080459633978471"/>
    <n v="670.5"/>
    <n v="9259.26"/>
    <n v="9929.76"/>
    <n v="74074.039999999164"/>
    <x v="105"/>
  </r>
  <r>
    <x v="9"/>
    <x v="113"/>
    <x v="106"/>
    <d v="2029-06-15T00:00:00"/>
    <d v="2029-05-15T00:00:00"/>
    <d v="2029-06-01T00:00:00"/>
    <n v="0.23217948646897468"/>
    <n v="22"/>
    <n v="22"/>
    <n v="1.0023217948646896"/>
    <n v="1.0015414867672061"/>
    <n v="1.0013006446089134"/>
    <n v="1.0034298992021382"/>
    <n v="1.0086201751429946"/>
    <n v="638.53"/>
    <n v="9259.25"/>
    <n v="9897.7800000000007"/>
    <n v="64814.789999999164"/>
    <x v="106"/>
  </r>
  <r>
    <x v="9"/>
    <x v="114"/>
    <x v="107"/>
    <d v="2029-07-16T00:00:00"/>
    <d v="2029-06-15T00:00:00"/>
    <d v="2029-07-01T00:00:00"/>
    <n v="0.2321794868617795"/>
    <n v="21"/>
    <n v="21"/>
    <n v="1.0023217948686178"/>
    <n v="1.0014713676651572"/>
    <n v="1.0012414877164493"/>
    <n v="1.0032737397821989"/>
    <n v="1.0083330284012713"/>
    <n v="540.1"/>
    <n v="9259.26"/>
    <n v="9799.36"/>
    <n v="55555.529999999162"/>
    <x v="107"/>
  </r>
  <r>
    <x v="9"/>
    <x v="115"/>
    <x v="108"/>
    <d v="2029-08-15T00:00:00"/>
    <d v="2029-07-15T00:00:00"/>
    <d v="2029-08-01T00:00:00"/>
    <n v="0.23217948724408644"/>
    <n v="22"/>
    <n v="22"/>
    <n v="1.0023217948724408"/>
    <n v="1.0015414867672061"/>
    <n v="1.0013006446089134"/>
    <n v="1.0034298992021382"/>
    <n v="1.0086201751507944"/>
    <n v="478.9"/>
    <n v="9259.25"/>
    <n v="9738.15"/>
    <n v="46296.279999999162"/>
    <x v="108"/>
  </r>
  <r>
    <x v="9"/>
    <x v="116"/>
    <x v="109"/>
    <d v="2029-09-17T00:00:00"/>
    <d v="2029-08-15T00:00:00"/>
    <d v="2029-09-01T00:00:00"/>
    <n v="0.23217948749823836"/>
    <n v="22"/>
    <n v="22"/>
    <n v="1.0023217948749823"/>
    <n v="1.0015414867672061"/>
    <n v="1.0013006446089134"/>
    <n v="1.0034298992021382"/>
    <n v="1.0086201751533519"/>
    <n v="399.08"/>
    <n v="9259.26"/>
    <n v="9658.34"/>
    <n v="37037.01999999916"/>
    <x v="109"/>
  </r>
  <r>
    <x v="9"/>
    <x v="117"/>
    <x v="110"/>
    <d v="2029-10-15T00:00:00"/>
    <d v="2029-09-15T00:00:00"/>
    <d v="2029-10-01T00:00:00"/>
    <n v="0.23217948757981169"/>
    <n v="19"/>
    <n v="19"/>
    <n v="1.0023217948757981"/>
    <n v="1.0013311441880792"/>
    <n v="1.0011231844162911"/>
    <n v="1.0029614938457672"/>
    <n v="1.0077589801395646"/>
    <n v="287.37"/>
    <n v="9259.25"/>
    <n v="9546.6200000000008"/>
    <n v="27777.76999999916"/>
    <x v="2"/>
  </r>
  <r>
    <x v="9"/>
    <x v="118"/>
    <x v="111"/>
    <d v="2029-11-16T00:00:00"/>
    <d v="2029-10-15T00:00:00"/>
    <d v="2029-11-01T00:00:00"/>
    <n v="0.23217948751141301"/>
    <n v="22"/>
    <n v="22"/>
    <n v="1.0023217948751142"/>
    <n v="1.0015414867672061"/>
    <n v="1.0013006446089134"/>
    <n v="1.0034298992021382"/>
    <n v="1.0086201751534847"/>
    <n v="239.45"/>
    <n v="9259.26"/>
    <n v="9498.7100000000009"/>
    <n v="18518.509999999158"/>
    <x v="3"/>
  </r>
  <r>
    <x v="9"/>
    <x v="119"/>
    <x v="112"/>
    <d v="2029-12-17T00:00:00"/>
    <d v="2029-11-15T00:00:00"/>
    <d v="2029-12-01T00:00:00"/>
    <n v="0.2321794873568499"/>
    <n v="21"/>
    <n v="21"/>
    <n v="1.0023217948735685"/>
    <n v="1.0014713676651572"/>
    <n v="1.0012414877164493"/>
    <n v="1.0032737397821989"/>
    <n v="1.0083330284062515"/>
    <n v="154.32"/>
    <n v="9259.25"/>
    <n v="9413.57"/>
    <n v="9259.259999999158"/>
    <x v="4"/>
  </r>
  <r>
    <x v="10"/>
    <x v="120"/>
    <x v="113"/>
    <d v="2030-01-15T00:00:00"/>
    <d v="2029-12-15T00:00:00"/>
    <d v="2030-01-01T00:00:00"/>
    <n v="0.23217948718939077"/>
    <n v="19"/>
    <n v="19"/>
    <n v="1.0023217948718939"/>
    <n v="1.0013311441880792"/>
    <n v="1.0011231844162911"/>
    <n v="1.0029614938457672"/>
    <n v="1.007758980135639"/>
    <n v="71.84"/>
    <n v="9259.26"/>
    <n v="9331.1"/>
    <n v="-8.4219209384173155E-10"/>
    <x v="5"/>
  </r>
  <r>
    <x v="10"/>
    <x v="121"/>
    <x v="114"/>
    <d v="2030-02-15T00:00:00"/>
    <d v="2030-01-15T00:00:00"/>
    <d v="2030-02-01T00:00:00"/>
    <n v="0.23217948706597638"/>
    <n v="23"/>
    <n v="23"/>
    <n v="1.0023217948706598"/>
    <n v="1.0016116107787196"/>
    <n v="1.0013598049965762"/>
    <n v="1.0035860829282697"/>
    <n v="1.0089074036665251"/>
    <n v="0"/>
    <n v="0"/>
    <n v="0"/>
    <n v="-8.4219209384173155E-10"/>
    <x v="6"/>
  </r>
  <r>
    <x v="10"/>
    <x v="122"/>
    <x v="115"/>
    <d v="2030-03-15T00:00:00"/>
    <d v="2030-02-15T00:00:00"/>
    <d v="2030-03-01T00:00:00"/>
    <n v="0.23217948701362889"/>
    <n v="18"/>
    <n v="18"/>
    <n v="1.0023217948701364"/>
    <n v="1.0012610398123627"/>
    <n v="1.0010640380081841"/>
    <n v="1.0028054073217112"/>
    <n v="1.0074720785640821"/>
    <n v="0"/>
    <n v="0"/>
    <n v="0"/>
    <n v="-8.4219209384173155E-10"/>
    <x v="7"/>
  </r>
  <r>
    <x v="10"/>
    <x v="123"/>
    <x v="116"/>
    <d v="2030-04-15T00:00:00"/>
    <d v="2030-03-15T00:00:00"/>
    <d v="2030-04-01T00:00:00"/>
    <n v="0.23217948702895594"/>
    <n v="21"/>
    <n v="21"/>
    <n v="1.0023217948702896"/>
    <n v="1.0014713676651572"/>
    <n v="1.0012414877164493"/>
    <n v="1.0032737397821989"/>
    <n v="1.008333028402953"/>
    <n v="0"/>
    <n v="0"/>
    <n v="0"/>
    <n v="-8.4219209384173155E-10"/>
    <x v="8"/>
  </r>
  <r>
    <x v="10"/>
    <x v="124"/>
    <x v="117"/>
    <d v="2030-05-15T00:00:00"/>
    <d v="2030-04-15T00:00:00"/>
    <d v="2030-05-01T00:00:00"/>
    <n v="0.23217948708775357"/>
    <n v="20"/>
    <n v="20"/>
    <n v="1.0023217948708776"/>
    <n v="1.0014012534722294"/>
    <n v="1.0011823343189774"/>
    <n v="1.0031176046646693"/>
    <n v="1.008045963406434"/>
    <n v="0"/>
    <n v="0"/>
    <n v="0"/>
    <n v="-8.4219209384173155E-10"/>
    <x v="9"/>
  </r>
  <r>
    <x v="10"/>
    <x v="125"/>
    <x v="118"/>
    <d v="2030-06-17T00:00:00"/>
    <d v="2030-05-15T00:00:00"/>
    <d v="2030-06-01T00:00:00"/>
    <n v="0.23217948715890491"/>
    <n v="23"/>
    <n v="23"/>
    <n v="1.002321794871589"/>
    <n v="1.0016116107787196"/>
    <n v="1.0013598049965762"/>
    <n v="1.0035860829282697"/>
    <n v="1.0089074036674606"/>
    <n v="0"/>
    <n v="0"/>
    <n v="0"/>
    <n v="-8.4219209384173155E-10"/>
    <x v="10"/>
  </r>
  <r>
    <x v="10"/>
    <x v="126"/>
    <x v="119"/>
    <d v="2030-07-15T00:00:00"/>
    <d v="2030-06-15T00:00:00"/>
    <d v="2030-07-01T00:00:00"/>
    <n v="0.23217948721639906"/>
    <n v="19"/>
    <n v="19"/>
    <n v="1.0023217948721639"/>
    <n v="1.0013311441880792"/>
    <n v="1.0011231844162911"/>
    <n v="1.0029614938457672"/>
    <n v="1.0077589801359106"/>
    <n v="0"/>
    <n v="0"/>
    <n v="0"/>
    <n v="-8.4219209384173155E-10"/>
    <x v="11"/>
  </r>
  <r>
    <x v="10"/>
    <x v="127"/>
    <x v="120"/>
    <d v="2030-08-15T00:00:00"/>
    <d v="2030-07-15T00:00:00"/>
    <d v="2030-08-01T00:00:00"/>
    <n v="0.23217948724595075"/>
    <n v="23"/>
    <n v="23"/>
    <n v="1.0023217948724594"/>
    <n v="1.0016116107787196"/>
    <n v="1.0013598049965762"/>
    <n v="1.0035860829282697"/>
    <n v="1.0089074036683365"/>
    <n v="0"/>
    <n v="0"/>
    <n v="0"/>
    <n v="-8.4219209384173155E-10"/>
    <x v="12"/>
  </r>
  <r>
    <x v="10"/>
    <x v="128"/>
    <x v="121"/>
    <d v="2030-09-16T00:00:00"/>
    <d v="2030-08-15T00:00:00"/>
    <d v="2030-09-01T00:00:00"/>
    <n v="0.23217948724610613"/>
    <n v="22"/>
    <n v="22"/>
    <n v="1.002321794872461"/>
    <n v="1.0015414867672061"/>
    <n v="1.0013006446089134"/>
    <n v="1.0034298992021382"/>
    <n v="1.0086201751508148"/>
    <n v="0"/>
    <n v="0"/>
    <n v="0"/>
    <n v="-8.4219209384173155E-10"/>
    <x v="13"/>
  </r>
  <r>
    <x v="10"/>
    <x v="129"/>
    <x v="122"/>
    <d v="2030-10-15T00:00:00"/>
    <d v="2030-09-15T00:00:00"/>
    <d v="2030-10-01T00:00:00"/>
    <n v="0.23217948722509507"/>
    <n v="21"/>
    <n v="21"/>
    <n v="1.0023217948722509"/>
    <n v="1.0014713676651572"/>
    <n v="1.0012414877164493"/>
    <n v="1.0032737397821989"/>
    <n v="1.0083330284049261"/>
    <n v="0"/>
    <n v="0"/>
    <n v="0"/>
    <n v="-8.4219209384173155E-10"/>
    <x v="14"/>
  </r>
  <r>
    <x v="10"/>
    <x v="130"/>
    <x v="123"/>
    <d v="2030-11-18T00:00:00"/>
    <d v="2030-10-15T00:00:00"/>
    <d v="2030-11-01T00:00:00"/>
    <n v="0.23217948719553538"/>
    <n v="23"/>
    <n v="23"/>
    <n v="1.0023217948719554"/>
    <n v="1.0016116107787196"/>
    <n v="1.0013598049965762"/>
    <n v="1.0035860829282697"/>
    <n v="1.0089074036678294"/>
    <n v="0"/>
    <n v="0"/>
    <n v="0"/>
    <n v="-8.4219209384173155E-10"/>
    <x v="15"/>
  </r>
  <r>
    <x v="10"/>
    <x v="131"/>
    <x v="124"/>
    <d v="2030-12-16T00:00:00"/>
    <d v="2030-11-15T00:00:00"/>
    <d v="2030-12-01T00:00:00"/>
    <n v="0.23217948716921225"/>
    <n v="20"/>
    <n v="20"/>
    <n v="1.002321794871692"/>
    <n v="1.0014012534722294"/>
    <n v="1.0011823343189774"/>
    <n v="1.0031176046646693"/>
    <n v="1.0080459634072534"/>
    <n v="0"/>
    <n v="0"/>
    <n v="0"/>
    <n v="-8.4219209384173155E-10"/>
    <x v="16"/>
  </r>
  <r>
    <x v="11"/>
    <x v="132"/>
    <x v="125"/>
    <d v="2031-01-15T00:00:00"/>
    <d v="2030-12-15T00:00:00"/>
    <d v="2031-01-01T00:00:00"/>
    <e v="#N/A"/>
    <n v="20"/>
    <n v="20"/>
    <e v="#N/A"/>
    <n v="1.0014012534722294"/>
    <n v="1.0011823343189774"/>
    <n v="1.0031176046646693"/>
    <e v="#N/A"/>
    <n v="0"/>
    <n v="0"/>
    <n v="0"/>
    <n v="-8.4219209384173155E-10"/>
    <x v="17"/>
  </r>
  <r>
    <x v="11"/>
    <x v="133"/>
    <x v="126"/>
    <d v="2031-02-17T00:00:00"/>
    <d v="2031-01-15T00:00:00"/>
    <d v="2031-02-01T00:00:00"/>
    <e v="#N/A"/>
    <n v="23"/>
    <n v="23"/>
    <e v="#N/A"/>
    <n v="1.0016116107787196"/>
    <n v="1.0013598049965762"/>
    <n v="1.0035860829282697"/>
    <e v="#N/A"/>
    <n v="0"/>
    <n v="0"/>
    <n v="0"/>
    <n v="-8.4219209384173155E-10"/>
    <x v="18"/>
  </r>
  <r>
    <x v="11"/>
    <x v="134"/>
    <x v="127"/>
    <d v="2031-03-17T00:00:00"/>
    <d v="2031-02-15T00:00:00"/>
    <d v="2031-03-01T00:00:00"/>
    <e v="#N/A"/>
    <n v="18"/>
    <n v="18"/>
    <e v="#N/A"/>
    <n v="1.0012610398123627"/>
    <n v="1.0010640380081841"/>
    <n v="1.0028054073217112"/>
    <e v="#N/A"/>
    <n v="0"/>
    <n v="0"/>
    <n v="0"/>
    <n v="-8.4219209384173155E-10"/>
    <x v="19"/>
  </r>
  <r>
    <x v="11"/>
    <x v="135"/>
    <x v="128"/>
    <d v="2031-04-15T00:00:00"/>
    <d v="2031-03-15T00:00:00"/>
    <d v="2031-04-01T00:00:00"/>
    <e v="#N/A"/>
    <n v="20"/>
    <n v="20"/>
    <e v="#N/A"/>
    <n v="1.0014012534722294"/>
    <n v="1.0011823343189774"/>
    <n v="1.0031176046646693"/>
    <e v="#N/A"/>
    <n v="0"/>
    <n v="0"/>
    <n v="0"/>
    <n v="-8.4219209384173155E-10"/>
    <x v="20"/>
  </r>
  <r>
    <x v="11"/>
    <x v="136"/>
    <x v="129"/>
    <d v="2031-05-15T00:00:00"/>
    <d v="2031-04-15T00:00:00"/>
    <d v="2031-05-01T00:00:00"/>
    <e v="#N/A"/>
    <n v="20"/>
    <n v="20"/>
    <e v="#N/A"/>
    <n v="1.0014012534722294"/>
    <n v="1.0011823343189774"/>
    <n v="1.0031176046646693"/>
    <e v="#N/A"/>
    <n v="0"/>
    <n v="0"/>
    <n v="0"/>
    <n v="-8.4219209384173155E-10"/>
    <x v="21"/>
  </r>
  <r>
    <x v="11"/>
    <x v="137"/>
    <x v="130"/>
    <d v="2031-06-16T00:00:00"/>
    <d v="2031-05-15T00:00:00"/>
    <d v="2031-06-01T00:00:00"/>
    <e v="#N/A"/>
    <n v="21"/>
    <n v="21"/>
    <e v="#N/A"/>
    <n v="1.0014713676651572"/>
    <n v="1.0012414877164493"/>
    <n v="1.0032737397821989"/>
    <e v="#N/A"/>
    <n v="0"/>
    <n v="0"/>
    <n v="0"/>
    <n v="-8.4219209384173155E-10"/>
    <x v="22"/>
  </r>
  <r>
    <x v="11"/>
    <x v="138"/>
    <x v="131"/>
    <d v="2031-07-15T00:00:00"/>
    <d v="2031-06-15T00:00:00"/>
    <d v="2031-07-01T00:00:00"/>
    <e v="#N/A"/>
    <n v="21"/>
    <n v="21"/>
    <e v="#N/A"/>
    <n v="1.0014713676651572"/>
    <n v="1.0012414877164493"/>
    <n v="1.0032737397821989"/>
    <e v="#N/A"/>
    <n v="0"/>
    <n v="0"/>
    <n v="0"/>
    <n v="-8.4219209384173155E-10"/>
    <x v="23"/>
  </r>
  <r>
    <x v="11"/>
    <x v="139"/>
    <x v="132"/>
    <d v="2031-08-15T00:00:00"/>
    <d v="2031-07-15T00:00:00"/>
    <d v="2031-08-01T00:00:00"/>
    <e v="#N/A"/>
    <n v="23"/>
    <n v="23"/>
    <e v="#N/A"/>
    <n v="1.0016116107787196"/>
    <n v="1.0013598049965762"/>
    <n v="1.0035860829282697"/>
    <e v="#N/A"/>
    <n v="0"/>
    <n v="0"/>
    <n v="0"/>
    <n v="-8.4219209384173155E-10"/>
    <x v="24"/>
  </r>
  <r>
    <x v="11"/>
    <x v="140"/>
    <x v="133"/>
    <d v="2031-09-15T00:00:00"/>
    <d v="2031-08-15T00:00:00"/>
    <d v="2031-09-01T00:00:00"/>
    <e v="#N/A"/>
    <n v="21"/>
    <n v="21"/>
    <e v="#N/A"/>
    <n v="1.0014713676651572"/>
    <n v="1.0012414877164493"/>
    <n v="1.0032737397821989"/>
    <e v="#N/A"/>
    <n v="0"/>
    <n v="0"/>
    <n v="0"/>
    <n v="-8.4219209384173155E-10"/>
    <x v="25"/>
  </r>
  <r>
    <x v="11"/>
    <x v="141"/>
    <x v="134"/>
    <d v="2031-10-15T00:00:00"/>
    <d v="2031-09-15T00:00:00"/>
    <d v="2031-10-01T00:00:00"/>
    <e v="#N/A"/>
    <n v="22"/>
    <n v="22"/>
    <e v="#N/A"/>
    <n v="1.0015414867672061"/>
    <n v="1.0013006446089134"/>
    <n v="1.0034298992021382"/>
    <e v="#N/A"/>
    <n v="0"/>
    <n v="0"/>
    <n v="0"/>
    <n v="-8.4219209384173155E-10"/>
    <x v="26"/>
  </r>
  <r>
    <x v="11"/>
    <x v="142"/>
    <x v="135"/>
    <d v="2031-11-17T00:00:00"/>
    <d v="2031-10-15T00:00:00"/>
    <d v="2031-11-01T00:00:00"/>
    <e v="#N/A"/>
    <n v="23"/>
    <n v="23"/>
    <e v="#N/A"/>
    <n v="1.0016116107787196"/>
    <n v="1.0013598049965762"/>
    <n v="1.0035860829282697"/>
    <e v="#N/A"/>
    <n v="0"/>
    <n v="0"/>
    <n v="0"/>
    <n v="-8.4219209384173155E-10"/>
    <x v="27"/>
  </r>
  <r>
    <x v="11"/>
    <x v="143"/>
    <x v="136"/>
    <d v="2031-12-15T00:00:00"/>
    <d v="2031-11-15T00:00:00"/>
    <d v="2031-12-01T00:00:00"/>
    <e v="#N/A"/>
    <n v="20"/>
    <n v="20"/>
    <e v="#N/A"/>
    <n v="1.0014012534722294"/>
    <n v="1.0011823343189774"/>
    <n v="1.0031176046646693"/>
    <e v="#N/A"/>
    <n v="0"/>
    <n v="0"/>
    <n v="0"/>
    <n v="-8.4219209384173155E-10"/>
    <x v="28"/>
  </r>
  <r>
    <x v="12"/>
    <x v="144"/>
    <x v="137"/>
    <d v="2032-01-15T00:00:00"/>
    <d v="2031-12-15T00:00:00"/>
    <d v="2032-01-01T00:00:00"/>
    <e v="#N/A"/>
    <n v="21"/>
    <n v="21"/>
    <e v="#N/A"/>
    <n v="1.0014713676651572"/>
    <n v="1.0012414877164493"/>
    <n v="1.0032737397821989"/>
    <e v="#N/A"/>
    <n v="0"/>
    <n v="0"/>
    <n v="0"/>
    <n v="-8.4219209384173155E-10"/>
    <x v="2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ela dinâ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4" indent="0" compact="0" compactData="0" gridDropZones="1" multipleFieldFilters="0">
  <location ref="A4:G164" firstHeaderRow="1" firstDataRow="2" firstDataCol="4"/>
  <pivotFields count="19">
    <pivotField axis="axisRow" compact="0" outline="0" showAll="0" sortType="ascending">
      <items count="21">
        <item m="1" x="18"/>
        <item m="1" x="17"/>
        <item m="1" x="16"/>
        <item m="1" x="15"/>
        <item m="1" x="14"/>
        <item m="1" x="13"/>
        <item m="1" x="1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Row" compact="0" outline="0" showAll="0" sortType="ascending" defaultSubtotal="0">
      <items count="225">
        <item m="1" x="211"/>
        <item m="1" x="216"/>
        <item m="1" x="222"/>
        <item m="1" x="149"/>
        <item m="1" x="156"/>
        <item m="1" x="162"/>
        <item x="0"/>
        <item x="12"/>
        <item x="24"/>
        <item x="36"/>
        <item x="48"/>
        <item x="60"/>
        <item x="72"/>
        <item x="84"/>
        <item x="96"/>
        <item x="108"/>
        <item x="120"/>
        <item x="132"/>
        <item x="144"/>
        <item m="1" x="176"/>
        <item m="1" x="180"/>
        <item m="1" x="185"/>
        <item m="1" x="190"/>
        <item m="1" x="195"/>
        <item m="1" x="199"/>
        <item x="1"/>
        <item x="13"/>
        <item x="25"/>
        <item x="37"/>
        <item x="49"/>
        <item x="61"/>
        <item x="73"/>
        <item x="85"/>
        <item x="97"/>
        <item x="109"/>
        <item x="121"/>
        <item x="133"/>
        <item m="1" x="215"/>
        <item m="1" x="221"/>
        <item m="1" x="148"/>
        <item m="1" x="155"/>
        <item m="1" x="161"/>
        <item m="1" x="166"/>
        <item x="2"/>
        <item x="14"/>
        <item x="26"/>
        <item x="38"/>
        <item x="50"/>
        <item x="62"/>
        <item x="74"/>
        <item x="86"/>
        <item x="98"/>
        <item x="110"/>
        <item x="122"/>
        <item x="134"/>
        <item m="1" x="179"/>
        <item m="1" x="184"/>
        <item m="1" x="189"/>
        <item m="1" x="194"/>
        <item m="1" x="198"/>
        <item m="1" x="202"/>
        <item x="3"/>
        <item x="15"/>
        <item x="27"/>
        <item x="39"/>
        <item x="51"/>
        <item x="63"/>
        <item x="75"/>
        <item x="87"/>
        <item x="99"/>
        <item x="111"/>
        <item x="123"/>
        <item x="135"/>
        <item m="1" x="214"/>
        <item m="1" x="220"/>
        <item m="1" x="147"/>
        <item m="1" x="154"/>
        <item m="1" x="160"/>
        <item m="1" x="165"/>
        <item m="1" x="169"/>
        <item x="4"/>
        <item x="16"/>
        <item x="28"/>
        <item x="40"/>
        <item x="52"/>
        <item x="64"/>
        <item x="76"/>
        <item x="88"/>
        <item x="100"/>
        <item x="112"/>
        <item x="124"/>
        <item x="136"/>
        <item m="1" x="178"/>
        <item m="1" x="183"/>
        <item m="1" x="188"/>
        <item m="1" x="193"/>
        <item m="1" x="197"/>
        <item m="1" x="201"/>
        <item m="1" x="205"/>
        <item x="5"/>
        <item x="17"/>
        <item x="29"/>
        <item x="41"/>
        <item x="53"/>
        <item x="65"/>
        <item x="77"/>
        <item x="89"/>
        <item x="101"/>
        <item x="113"/>
        <item x="125"/>
        <item x="137"/>
        <item m="1" x="218"/>
        <item m="1" x="145"/>
        <item m="1" x="152"/>
        <item m="1" x="159"/>
        <item m="1" x="164"/>
        <item m="1" x="168"/>
        <item m="1" x="172"/>
        <item x="6"/>
        <item x="18"/>
        <item x="30"/>
        <item x="42"/>
        <item x="54"/>
        <item x="66"/>
        <item x="78"/>
        <item x="90"/>
        <item x="102"/>
        <item x="114"/>
        <item x="126"/>
        <item x="138"/>
        <item m="1" x="181"/>
        <item m="1" x="186"/>
        <item m="1" x="191"/>
        <item m="1" x="196"/>
        <item m="1" x="200"/>
        <item m="1" x="204"/>
        <item m="1" x="208"/>
        <item x="7"/>
        <item x="19"/>
        <item x="31"/>
        <item x="43"/>
        <item x="55"/>
        <item x="67"/>
        <item x="79"/>
        <item x="91"/>
        <item x="103"/>
        <item x="115"/>
        <item x="127"/>
        <item x="139"/>
        <item m="1" x="223"/>
        <item m="1" x="150"/>
        <item m="1" x="157"/>
        <item m="1" x="163"/>
        <item m="1" x="167"/>
        <item m="1" x="171"/>
        <item m="1" x="174"/>
        <item x="8"/>
        <item x="20"/>
        <item x="32"/>
        <item x="44"/>
        <item x="56"/>
        <item x="68"/>
        <item x="80"/>
        <item x="92"/>
        <item x="104"/>
        <item x="116"/>
        <item x="128"/>
        <item x="140"/>
        <item m="1" x="203"/>
        <item m="1" x="207"/>
        <item m="1" x="210"/>
        <item m="1" x="213"/>
        <item m="1" x="219"/>
        <item m="1" x="146"/>
        <item m="1" x="153"/>
        <item x="9"/>
        <item x="21"/>
        <item x="33"/>
        <item x="45"/>
        <item x="57"/>
        <item x="69"/>
        <item x="81"/>
        <item x="93"/>
        <item x="105"/>
        <item x="117"/>
        <item x="129"/>
        <item x="141"/>
        <item m="1" x="170"/>
        <item m="1" x="173"/>
        <item m="1" x="175"/>
        <item m="1" x="177"/>
        <item m="1" x="182"/>
        <item m="1" x="187"/>
        <item m="1" x="192"/>
        <item x="10"/>
        <item x="22"/>
        <item x="34"/>
        <item x="46"/>
        <item x="58"/>
        <item x="70"/>
        <item x="82"/>
        <item x="94"/>
        <item x="106"/>
        <item x="118"/>
        <item x="130"/>
        <item x="142"/>
        <item m="1" x="206"/>
        <item m="1" x="209"/>
        <item m="1" x="212"/>
        <item m="1" x="217"/>
        <item m="1" x="224"/>
        <item m="1" x="151"/>
        <item m="1" x="158"/>
        <item x="11"/>
        <item x="23"/>
        <item x="35"/>
        <item x="47"/>
        <item x="59"/>
        <item x="71"/>
        <item x="83"/>
        <item x="95"/>
        <item x="107"/>
        <item x="119"/>
        <item x="131"/>
        <item x="143"/>
      </items>
    </pivotField>
    <pivotField axis="axisRow" compact="0" outline="0" showAll="0" sortType="ascending" defaultSubtotal="0">
      <items count="239">
        <item x="1"/>
        <item m="1" x="142"/>
        <item m="1" x="227"/>
        <item m="1" x="226"/>
        <item m="1" x="186"/>
        <item m="1" x="171"/>
        <item m="1" x="162"/>
        <item m="1" x="159"/>
        <item m="1" x="188"/>
        <item m="1" x="138"/>
        <item m="1" x="231"/>
        <item m="1" x="220"/>
        <item m="1" x="210"/>
        <item m="1" x="180"/>
        <item m="1" x="187"/>
        <item m="1" x="201"/>
        <item m="1" x="216"/>
        <item m="1" x="222"/>
        <item m="1" x="169"/>
        <item m="1" x="161"/>
        <item m="1" x="151"/>
        <item m="1" x="140"/>
        <item m="1" x="214"/>
        <item m="1" x="221"/>
        <item m="1" x="212"/>
        <item m="1" x="144"/>
        <item m="1" x="189"/>
        <item m="1" x="202"/>
        <item m="1" x="190"/>
        <item m="1" x="176"/>
        <item m="1" x="170"/>
        <item m="1" x="203"/>
        <item m="1" x="153"/>
        <item m="1" x="143"/>
        <item m="1" x="233"/>
        <item m="1" x="223"/>
        <item m="1" x="197"/>
        <item m="1" x="145"/>
        <item m="1" x="191"/>
        <item m="1" x="146"/>
        <item m="1" x="192"/>
        <item m="1" x="179"/>
        <item m="1" x="157"/>
        <item m="1" x="163"/>
        <item m="1" x="149"/>
        <item m="1" x="172"/>
        <item m="1" x="195"/>
        <item m="1" x="228"/>
        <item m="1" x="234"/>
        <item m="1" x="225"/>
        <item m="1" x="156"/>
        <item m="1" x="199"/>
        <item m="1" x="147"/>
        <item m="1" x="193"/>
        <item m="1" x="198"/>
        <item m="1" x="204"/>
        <item m="1" x="194"/>
        <item m="1" x="181"/>
        <item m="1" x="164"/>
        <item m="1" x="217"/>
        <item m="1" x="154"/>
        <item m="1" x="165"/>
        <item m="1" x="155"/>
        <item m="1" x="235"/>
        <item m="1" x="185"/>
        <item m="1" x="237"/>
        <item m="1" x="213"/>
        <item m="1" x="211"/>
        <item m="1" x="205"/>
        <item m="1" x="215"/>
        <item m="1" x="150"/>
        <item m="1" x="175"/>
        <item m="1" x="206"/>
        <item m="1" x="218"/>
        <item m="1" x="229"/>
        <item m="1" x="177"/>
        <item m="1" x="182"/>
        <item m="1" x="196"/>
        <item m="1" x="207"/>
        <item m="1" x="184"/>
        <item m="1" x="183"/>
        <item m="1" x="173"/>
        <item m="1" x="166"/>
        <item m="1" x="209"/>
        <item m="1" x="141"/>
        <item m="1" x="148"/>
        <item m="1" x="238"/>
        <item m="1" x="174"/>
        <item m="1" x="168"/>
        <item m="1" x="219"/>
        <item m="1" x="160"/>
        <item m="1" x="236"/>
        <item m="1" x="139"/>
        <item m="1" x="208"/>
        <item x="0"/>
        <item m="1" x="178"/>
        <item m="1" x="232"/>
        <item x="2"/>
        <item m="1" x="167"/>
        <item m="1" x="158"/>
        <item x="3"/>
        <item m="1" x="224"/>
        <item m="1" x="230"/>
        <item x="4"/>
        <item m="1" x="152"/>
        <item m="1" x="200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</items>
    </pivotField>
    <pivotField compact="0" numFmtId="14" outline="0" showAll="0" defaultSubtotal="0"/>
    <pivotField compact="0" outline="0" showAll="0" defaultSubtotal="0"/>
    <pivotField compact="0" outline="0" showAll="0"/>
    <pivotField compact="0" outline="0" showAll="0"/>
    <pivotField compact="0" outline="0" showAll="0"/>
    <pivotField compact="0" outline="0" showAll="0"/>
    <pivotField compact="0" outline="0" showAll="0" defaultSubtotal="0"/>
    <pivotField compact="0" outline="0" showAll="0"/>
    <pivotField compact="0" outline="0" showAll="0" defaultSubtotal="0"/>
    <pivotField compact="0" outline="0" showAll="0" defaultSubtotal="0"/>
    <pivotField compact="0" outline="0" showAll="0"/>
    <pivotField dataField="1" compact="0" outline="0" showAll="0" defaultSubtotal="0"/>
    <pivotField dataField="1" compact="0" outline="0" showAll="0"/>
    <pivotField dataField="1" compact="0" outline="0" showAll="0" defaultSubtotal="0"/>
    <pivotField compact="0" numFmtId="4" outline="0" showAll="0"/>
    <pivotField name="Nº Parc." axis="axisRow" compact="0" outline="0" showAll="0">
      <items count="111">
        <item x="5"/>
        <item x="4"/>
        <item x="3"/>
        <item x="2"/>
        <item x="109"/>
        <item x="108"/>
        <item x="107"/>
        <item x="106"/>
        <item x="105"/>
        <item x="104"/>
        <item x="103"/>
        <item x="102"/>
        <item x="101"/>
        <item x="100"/>
        <item x="99"/>
        <item x="98"/>
        <item x="97"/>
        <item x="96"/>
        <item x="95"/>
        <item x="94"/>
        <item x="93"/>
        <item x="92"/>
        <item x="91"/>
        <item x="90"/>
        <item x="89"/>
        <item x="88"/>
        <item x="87"/>
        <item x="86"/>
        <item x="85"/>
        <item x="84"/>
        <item x="83"/>
        <item x="82"/>
        <item x="81"/>
        <item x="80"/>
        <item x="79"/>
        <item x="78"/>
        <item x="77"/>
        <item x="76"/>
        <item x="75"/>
        <item x="74"/>
        <item x="73"/>
        <item x="72"/>
        <item x="71"/>
        <item x="70"/>
        <item x="69"/>
        <item x="68"/>
        <item x="67"/>
        <item x="66"/>
        <item x="65"/>
        <item x="64"/>
        <item x="63"/>
        <item x="6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1"/>
        <item x="0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t="default"/>
      </items>
    </pivotField>
  </pivotFields>
  <rowFields count="4">
    <field x="0"/>
    <field x="1"/>
    <field x="2"/>
    <field x="18"/>
  </rowFields>
  <rowItems count="159">
    <i>
      <x v="7"/>
      <x v="6"/>
      <x v="94"/>
      <x v="73"/>
    </i>
    <i r="1">
      <x v="25"/>
      <x/>
      <x v="72"/>
    </i>
    <i r="1">
      <x v="43"/>
      <x/>
      <x v="72"/>
    </i>
    <i r="1">
      <x v="61"/>
      <x v="97"/>
      <x v="3"/>
    </i>
    <i r="1">
      <x v="80"/>
      <x/>
      <x v="72"/>
    </i>
    <i r="1">
      <x v="99"/>
      <x/>
      <x v="72"/>
    </i>
    <i r="1">
      <x v="118"/>
      <x v="100"/>
      <x v="2"/>
    </i>
    <i r="1">
      <x v="137"/>
      <x/>
      <x v="72"/>
    </i>
    <i r="1">
      <x v="156"/>
      <x/>
      <x v="72"/>
    </i>
    <i r="1">
      <x v="175"/>
      <x v="103"/>
      <x v="1"/>
    </i>
    <i r="1">
      <x v="194"/>
      <x/>
      <x v="72"/>
    </i>
    <i r="1">
      <x v="213"/>
      <x/>
      <x v="72"/>
    </i>
    <i t="default">
      <x v="7"/>
    </i>
    <i>
      <x v="8"/>
      <x v="7"/>
      <x v="106"/>
      <x/>
    </i>
    <i r="1">
      <x v="26"/>
      <x v="107"/>
      <x v="74"/>
    </i>
    <i r="1">
      <x v="44"/>
      <x v="108"/>
      <x v="75"/>
    </i>
    <i r="1">
      <x v="62"/>
      <x v="109"/>
      <x v="76"/>
    </i>
    <i r="1">
      <x v="81"/>
      <x v="110"/>
      <x v="77"/>
    </i>
    <i r="1">
      <x v="100"/>
      <x v="111"/>
      <x v="78"/>
    </i>
    <i r="1">
      <x v="119"/>
      <x v="112"/>
      <x v="79"/>
    </i>
    <i r="1">
      <x v="138"/>
      <x v="113"/>
      <x v="80"/>
    </i>
    <i r="1">
      <x v="157"/>
      <x v="114"/>
      <x v="81"/>
    </i>
    <i r="1">
      <x v="176"/>
      <x v="115"/>
      <x v="82"/>
    </i>
    <i r="1">
      <x v="195"/>
      <x v="116"/>
      <x v="83"/>
    </i>
    <i r="1">
      <x v="214"/>
      <x v="117"/>
      <x v="84"/>
    </i>
    <i t="default">
      <x v="8"/>
    </i>
    <i>
      <x v="9"/>
      <x v="8"/>
      <x v="118"/>
      <x v="85"/>
    </i>
    <i r="1">
      <x v="27"/>
      <x v="119"/>
      <x v="86"/>
    </i>
    <i r="1">
      <x v="45"/>
      <x v="120"/>
      <x v="87"/>
    </i>
    <i r="1">
      <x v="63"/>
      <x v="121"/>
      <x v="88"/>
    </i>
    <i r="1">
      <x v="82"/>
      <x v="122"/>
      <x v="89"/>
    </i>
    <i r="1">
      <x v="101"/>
      <x v="123"/>
      <x v="90"/>
    </i>
    <i r="1">
      <x v="120"/>
      <x v="124"/>
      <x v="91"/>
    </i>
    <i r="1">
      <x v="139"/>
      <x v="125"/>
      <x v="92"/>
    </i>
    <i r="1">
      <x v="158"/>
      <x v="126"/>
      <x v="93"/>
    </i>
    <i r="1">
      <x v="177"/>
      <x v="127"/>
      <x v="94"/>
    </i>
    <i r="1">
      <x v="196"/>
      <x v="128"/>
      <x v="95"/>
    </i>
    <i r="1">
      <x v="215"/>
      <x v="129"/>
      <x v="96"/>
    </i>
    <i t="default">
      <x v="9"/>
    </i>
    <i>
      <x v="10"/>
      <x v="9"/>
      <x v="130"/>
      <x v="97"/>
    </i>
    <i r="1">
      <x v="28"/>
      <x v="131"/>
      <x v="98"/>
    </i>
    <i r="1">
      <x v="46"/>
      <x v="132"/>
      <x v="99"/>
    </i>
    <i r="1">
      <x v="64"/>
      <x v="133"/>
      <x v="100"/>
    </i>
    <i r="1">
      <x v="83"/>
      <x v="134"/>
      <x v="101"/>
    </i>
    <i r="1">
      <x v="102"/>
      <x v="135"/>
      <x v="102"/>
    </i>
    <i r="1">
      <x v="121"/>
      <x v="136"/>
      <x v="103"/>
    </i>
    <i r="1">
      <x v="140"/>
      <x v="137"/>
      <x v="104"/>
    </i>
    <i r="1">
      <x v="159"/>
      <x v="138"/>
      <x v="105"/>
    </i>
    <i r="1">
      <x v="178"/>
      <x v="139"/>
      <x v="106"/>
    </i>
    <i r="1">
      <x v="197"/>
      <x v="140"/>
      <x v="107"/>
    </i>
    <i r="1">
      <x v="216"/>
      <x v="141"/>
      <x v="108"/>
    </i>
    <i t="default">
      <x v="10"/>
    </i>
    <i>
      <x v="11"/>
      <x v="10"/>
      <x v="142"/>
      <x v="109"/>
    </i>
    <i r="1">
      <x v="29"/>
      <x v="143"/>
      <x v="71"/>
    </i>
    <i r="1">
      <x v="47"/>
      <x v="144"/>
      <x v="70"/>
    </i>
    <i r="1">
      <x v="65"/>
      <x v="145"/>
      <x v="69"/>
    </i>
    <i r="1">
      <x v="84"/>
      <x v="146"/>
      <x v="68"/>
    </i>
    <i r="1">
      <x v="103"/>
      <x v="147"/>
      <x v="67"/>
    </i>
    <i r="1">
      <x v="122"/>
      <x v="148"/>
      <x v="66"/>
    </i>
    <i r="1">
      <x v="141"/>
      <x v="149"/>
      <x v="65"/>
    </i>
    <i r="1">
      <x v="160"/>
      <x v="150"/>
      <x v="64"/>
    </i>
    <i r="1">
      <x v="179"/>
      <x v="151"/>
      <x v="63"/>
    </i>
    <i r="1">
      <x v="198"/>
      <x v="152"/>
      <x v="62"/>
    </i>
    <i r="1">
      <x v="217"/>
      <x v="153"/>
      <x v="61"/>
    </i>
    <i t="default">
      <x v="11"/>
    </i>
    <i>
      <x v="12"/>
      <x v="11"/>
      <x v="154"/>
      <x v="60"/>
    </i>
    <i r="1">
      <x v="30"/>
      <x v="155"/>
      <x v="59"/>
    </i>
    <i r="1">
      <x v="48"/>
      <x v="156"/>
      <x v="58"/>
    </i>
    <i r="1">
      <x v="66"/>
      <x v="157"/>
      <x v="57"/>
    </i>
    <i r="1">
      <x v="85"/>
      <x v="158"/>
      <x v="56"/>
    </i>
    <i r="1">
      <x v="104"/>
      <x v="159"/>
      <x v="55"/>
    </i>
    <i r="1">
      <x v="123"/>
      <x v="160"/>
      <x v="54"/>
    </i>
    <i r="1">
      <x v="142"/>
      <x v="161"/>
      <x v="53"/>
    </i>
    <i r="1">
      <x v="161"/>
      <x v="162"/>
      <x v="52"/>
    </i>
    <i r="1">
      <x v="180"/>
      <x v="163"/>
      <x v="51"/>
    </i>
    <i r="1">
      <x v="199"/>
      <x v="164"/>
      <x v="50"/>
    </i>
    <i r="1">
      <x v="218"/>
      <x v="165"/>
      <x v="49"/>
    </i>
    <i t="default">
      <x v="12"/>
    </i>
    <i>
      <x v="13"/>
      <x v="12"/>
      <x v="166"/>
      <x v="48"/>
    </i>
    <i r="1">
      <x v="31"/>
      <x v="167"/>
      <x v="47"/>
    </i>
    <i r="1">
      <x v="49"/>
      <x v="168"/>
      <x v="46"/>
    </i>
    <i r="1">
      <x v="67"/>
      <x v="169"/>
      <x v="45"/>
    </i>
    <i r="1">
      <x v="86"/>
      <x v="170"/>
      <x v="44"/>
    </i>
    <i r="1">
      <x v="105"/>
      <x v="171"/>
      <x v="43"/>
    </i>
    <i r="1">
      <x v="124"/>
      <x v="172"/>
      <x v="42"/>
    </i>
    <i r="1">
      <x v="143"/>
      <x v="173"/>
      <x v="41"/>
    </i>
    <i r="1">
      <x v="162"/>
      <x v="174"/>
      <x v="40"/>
    </i>
    <i r="1">
      <x v="181"/>
      <x v="175"/>
      <x v="39"/>
    </i>
    <i r="1">
      <x v="200"/>
      <x v="176"/>
      <x v="38"/>
    </i>
    <i r="1">
      <x v="219"/>
      <x v="177"/>
      <x v="37"/>
    </i>
    <i t="default">
      <x v="13"/>
    </i>
    <i>
      <x v="14"/>
      <x v="13"/>
      <x v="178"/>
      <x v="36"/>
    </i>
    <i r="1">
      <x v="32"/>
      <x v="179"/>
      <x v="35"/>
    </i>
    <i r="1">
      <x v="50"/>
      <x v="180"/>
      <x v="34"/>
    </i>
    <i r="1">
      <x v="68"/>
      <x v="181"/>
      <x v="33"/>
    </i>
    <i r="1">
      <x v="87"/>
      <x v="182"/>
      <x v="32"/>
    </i>
    <i r="1">
      <x v="106"/>
      <x v="183"/>
      <x v="31"/>
    </i>
    <i r="1">
      <x v="125"/>
      <x v="184"/>
      <x v="30"/>
    </i>
    <i r="1">
      <x v="144"/>
      <x v="185"/>
      <x v="29"/>
    </i>
    <i r="1">
      <x v="163"/>
      <x v="186"/>
      <x v="28"/>
    </i>
    <i r="1">
      <x v="182"/>
      <x v="187"/>
      <x v="27"/>
    </i>
    <i r="1">
      <x v="201"/>
      <x v="188"/>
      <x v="26"/>
    </i>
    <i r="1">
      <x v="220"/>
      <x v="189"/>
      <x v="25"/>
    </i>
    <i t="default">
      <x v="14"/>
    </i>
    <i>
      <x v="15"/>
      <x v="14"/>
      <x v="190"/>
      <x v="24"/>
    </i>
    <i r="1">
      <x v="33"/>
      <x v="191"/>
      <x v="23"/>
    </i>
    <i r="1">
      <x v="51"/>
      <x v="192"/>
      <x v="22"/>
    </i>
    <i r="1">
      <x v="69"/>
      <x v="193"/>
      <x v="21"/>
    </i>
    <i r="1">
      <x v="88"/>
      <x v="194"/>
      <x v="20"/>
    </i>
    <i r="1">
      <x v="107"/>
      <x v="195"/>
      <x v="19"/>
    </i>
    <i r="1">
      <x v="126"/>
      <x v="196"/>
      <x v="18"/>
    </i>
    <i r="1">
      <x v="145"/>
      <x v="197"/>
      <x v="17"/>
    </i>
    <i r="1">
      <x v="164"/>
      <x v="198"/>
      <x v="16"/>
    </i>
    <i r="1">
      <x v="183"/>
      <x v="199"/>
      <x v="15"/>
    </i>
    <i r="1">
      <x v="202"/>
      <x v="200"/>
      <x v="14"/>
    </i>
    <i r="1">
      <x v="221"/>
      <x v="201"/>
      <x v="13"/>
    </i>
    <i t="default">
      <x v="15"/>
    </i>
    <i>
      <x v="16"/>
      <x v="15"/>
      <x v="202"/>
      <x v="12"/>
    </i>
    <i r="1">
      <x v="34"/>
      <x v="203"/>
      <x v="11"/>
    </i>
    <i r="1">
      <x v="52"/>
      <x v="204"/>
      <x v="10"/>
    </i>
    <i r="1">
      <x v="70"/>
      <x v="205"/>
      <x v="9"/>
    </i>
    <i r="1">
      <x v="89"/>
      <x v="206"/>
      <x v="8"/>
    </i>
    <i r="1">
      <x v="108"/>
      <x v="207"/>
      <x v="7"/>
    </i>
    <i r="1">
      <x v="127"/>
      <x v="208"/>
      <x v="6"/>
    </i>
    <i r="1">
      <x v="146"/>
      <x v="209"/>
      <x v="5"/>
    </i>
    <i r="1">
      <x v="165"/>
      <x v="210"/>
      <x v="4"/>
    </i>
    <i r="1">
      <x v="184"/>
      <x v="211"/>
      <x v="3"/>
    </i>
    <i r="1">
      <x v="203"/>
      <x v="212"/>
      <x v="2"/>
    </i>
    <i r="1">
      <x v="222"/>
      <x v="213"/>
      <x v="1"/>
    </i>
    <i t="default">
      <x v="16"/>
    </i>
    <i>
      <x v="17"/>
      <x v="16"/>
      <x v="214"/>
      <x/>
    </i>
    <i r="1">
      <x v="35"/>
      <x v="215"/>
      <x v="74"/>
    </i>
    <i r="1">
      <x v="53"/>
      <x v="216"/>
      <x v="75"/>
    </i>
    <i r="1">
      <x v="71"/>
      <x v="217"/>
      <x v="76"/>
    </i>
    <i r="1">
      <x v="90"/>
      <x v="218"/>
      <x v="77"/>
    </i>
    <i r="1">
      <x v="109"/>
      <x v="219"/>
      <x v="78"/>
    </i>
    <i r="1">
      <x v="128"/>
      <x v="220"/>
      <x v="79"/>
    </i>
    <i r="1">
      <x v="147"/>
      <x v="221"/>
      <x v="80"/>
    </i>
    <i r="1">
      <x v="166"/>
      <x v="222"/>
      <x v="81"/>
    </i>
    <i r="1">
      <x v="185"/>
      <x v="223"/>
      <x v="82"/>
    </i>
    <i r="1">
      <x v="204"/>
      <x v="224"/>
      <x v="83"/>
    </i>
    <i r="1">
      <x v="223"/>
      <x v="225"/>
      <x v="84"/>
    </i>
    <i t="default">
      <x v="17"/>
    </i>
    <i>
      <x v="18"/>
      <x v="17"/>
      <x v="226"/>
      <x v="85"/>
    </i>
    <i r="1">
      <x v="36"/>
      <x v="227"/>
      <x v="86"/>
    </i>
    <i r="1">
      <x v="54"/>
      <x v="228"/>
      <x v="87"/>
    </i>
    <i r="1">
      <x v="72"/>
      <x v="229"/>
      <x v="88"/>
    </i>
    <i r="1">
      <x v="91"/>
      <x v="230"/>
      <x v="89"/>
    </i>
    <i r="1">
      <x v="110"/>
      <x v="231"/>
      <x v="90"/>
    </i>
    <i r="1">
      <x v="129"/>
      <x v="232"/>
      <x v="91"/>
    </i>
    <i r="1">
      <x v="148"/>
      <x v="233"/>
      <x v="92"/>
    </i>
    <i r="1">
      <x v="167"/>
      <x v="234"/>
      <x v="93"/>
    </i>
    <i r="1">
      <x v="186"/>
      <x v="235"/>
      <x v="94"/>
    </i>
    <i r="1">
      <x v="205"/>
      <x v="236"/>
      <x v="95"/>
    </i>
    <i r="1">
      <x v="224"/>
      <x v="237"/>
      <x v="96"/>
    </i>
    <i t="default">
      <x v="18"/>
    </i>
    <i>
      <x v="19"/>
      <x v="18"/>
      <x v="238"/>
      <x v="97"/>
    </i>
    <i t="default">
      <x v="1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Tot a Pagar R$" fld="16" baseField="0" baseItem="16" numFmtId="4"/>
    <dataField name=" Juros em R$" fld="14" baseField="2" baseItem="0" numFmtId="4"/>
    <dataField name=" Amortização R$" fld="15" baseField="2" baseItem="0" numFmtId="4"/>
  </dataFields>
  <formats count="7">
    <format dxfId="22">
      <pivotArea field="1" type="button" dataOnly="0" labelOnly="1" outline="0" axis="axisRow" fieldPosition="1"/>
    </format>
    <format dxfId="21">
      <pivotArea field="2" type="button" dataOnly="0" labelOnly="1" outline="0" axis="axisRow" fieldPosition="2"/>
    </format>
    <format dxfId="20">
      <pivotArea field="0" type="button" dataOnly="0" labelOnly="1" outline="0" axis="axisRow" fieldPosition="0"/>
    </format>
    <format dxfId="19">
      <pivotArea field="-2" type="button" dataOnly="0" labelOnly="1" outline="0" axis="axisCol" fieldPosition="0"/>
    </format>
    <format dxfId="18">
      <pivotArea type="topRight" dataOnly="0" labelOnly="1" outline="0" fieldPosition="0"/>
    </format>
    <format dxfId="1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6">
      <pivotArea type="origin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ela dinâ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4" indent="0" compact="0" compactData="0" gridDropZones="1" multipleFieldFilters="0">
  <location ref="A4:D19" firstHeaderRow="1" firstDataRow="2" firstDataCol="1"/>
  <pivotFields count="19">
    <pivotField axis="axisRow" compact="0" outline="0" showAll="0" defaultSubtotal="0">
      <items count="20">
        <item m="1" x="18"/>
        <item m="1" x="17"/>
        <item m="1" x="16"/>
        <item m="1" x="15"/>
        <item m="1" x="14"/>
        <item m="1" x="13"/>
        <item m="1" x="1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compact="0" outline="0" showAll="0" defaultSubtotal="0"/>
    <pivotField compact="0" outline="0" showAll="0"/>
    <pivotField compact="0" numFmtId="14" outline="0" showAll="0"/>
    <pivotField compact="0" outline="0" showAll="0" defaultSubtota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dataField="1" compact="0" outline="0" showAll="0" defaultSubtotal="0"/>
    <pivotField compact="0" numFmtId="4" outline="0" showAll="0"/>
    <pivotField compact="0" outline="0" showAll="0"/>
  </pivotFields>
  <rowFields count="1">
    <field x="0"/>
  </rowFields>
  <rowItems count="14"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Tot a Pagar R$" fld="16" baseField="0" baseItem="9" numFmtId="4"/>
    <dataField name=" Juros em R$" fld="14" baseField="0" baseItem="6" numFmtId="4"/>
    <dataField name=" Amortização R$" fld="15" baseField="0" baseItem="6" numFmtId="4"/>
  </dataFields>
  <formats count="16">
    <format dxfId="15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14">
      <pivotArea dataOnly="0" labelOnly="1" outline="0" fieldPosition="0">
        <references count="1">
          <reference field="0" count="0"/>
        </references>
      </pivotArea>
    </format>
    <format dxfId="13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12">
      <pivotArea field="-2" type="button" dataOnly="0" labelOnly="1" outline="0" axis="axisCol" fieldPosition="0"/>
    </format>
    <format dxfId="11">
      <pivotArea type="topRight" dataOnly="0" labelOnly="1" outline="0" fieldPosition="0"/>
    </format>
    <format dxfId="10">
      <pivotArea type="origin" dataOnly="0" labelOnly="1" outline="0" fieldPosition="0"/>
    </format>
    <format dxfId="9">
      <pivotArea field="0" type="button" dataOnly="0" labelOnly="1" outline="0" axis="axisRow" fieldPosition="0"/>
    </format>
    <format dxfId="8">
      <pivotArea dataOnly="0" outline="0" fieldPosition="0">
        <references count="1">
          <reference field="0" count="0"/>
        </references>
      </pivotArea>
    </format>
    <format dxfId="7">
      <pivotArea dataOnly="0" grandRow="1" outline="0" fieldPosition="0"/>
    </format>
    <format dxfId="6">
      <pivotArea outline="0" fieldPosition="0">
        <references count="1">
          <reference field="4294967294" count="1">
            <x v="0"/>
          </reference>
        </references>
      </pivotArea>
    </format>
    <format dxfId="5">
      <pivotArea type="origin" dataOnly="0" labelOnly="1" outline="0" fieldPosition="0"/>
    </format>
    <format dxfId="4">
      <pivotArea field="-2" type="button" dataOnly="0" labelOnly="1" outline="0" axis="axisCol" fieldPosition="0"/>
    </format>
    <format dxfId="3">
      <pivotArea type="topRight" dataOnly="0" labelOnly="1" outline="0" fieldPosition="0"/>
    </format>
    <format dxfId="2">
      <pivotArea field="0" type="button" dataOnly="0" labelOnly="1" outline="0" axis="axisRow" fieldPosition="0"/>
    </format>
    <format dxfId="1">
      <pivotArea dataOnly="0" labelOnly="1" outline="0" fieldPosition="0">
        <references count="1">
          <reference field="0" count="0"/>
        </references>
      </pivotArea>
    </format>
    <format dxfId="0">
      <pivotArea type="origin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Planilhas%20de%20Simula&#231;&#227;o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ibge.gov.br/estatisticas/economicas/precos-e-custos/9258-indice-nacional-de-precos-ao-consumidor.html?=&amp;t=downloads\inc_SeriesHist.zip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bndes.gov.br/Moedas/um777.tx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4"/>
  <dimension ref="A1:AM261"/>
  <sheetViews>
    <sheetView tabSelected="1" topLeftCell="C1" zoomScaleNormal="100" workbookViewId="0">
      <selection activeCell="D1" sqref="D1:K1"/>
    </sheetView>
  </sheetViews>
  <sheetFormatPr defaultColWidth="9.140625" defaultRowHeight="12.75" x14ac:dyDescent="0.2"/>
  <cols>
    <col min="1" max="1" width="6.42578125" style="70" hidden="1" customWidth="1"/>
    <col min="2" max="2" width="8.7109375" style="70" hidden="1" customWidth="1"/>
    <col min="3" max="3" width="11.85546875" style="5" customWidth="1"/>
    <col min="4" max="4" width="10.5703125" style="5" customWidth="1"/>
    <col min="5" max="5" width="9.28515625" style="5" customWidth="1"/>
    <col min="6" max="6" width="9.7109375" style="5" customWidth="1"/>
    <col min="7" max="8" width="8.7109375" style="5" customWidth="1"/>
    <col min="9" max="9" width="10" style="5" customWidth="1"/>
    <col min="10" max="10" width="10.28515625" style="5" customWidth="1"/>
    <col min="11" max="11" width="10.5703125" style="5" customWidth="1"/>
    <col min="12" max="12" width="10.85546875" style="5" customWidth="1"/>
    <col min="13" max="13" width="10.5703125" style="5" customWidth="1"/>
    <col min="14" max="14" width="10.7109375" style="5" customWidth="1"/>
    <col min="15" max="15" width="12.5703125" style="5" customWidth="1"/>
    <col min="16" max="17" width="13.140625" style="5" bestFit="1" customWidth="1"/>
    <col min="18" max="18" width="13.85546875" style="5" customWidth="1"/>
    <col min="19" max="19" width="11.28515625" style="5" customWidth="1"/>
    <col min="20" max="20" width="6.42578125" style="5" hidden="1" customWidth="1"/>
    <col min="21" max="22" width="6" style="5" hidden="1" customWidth="1"/>
    <col min="23" max="23" width="9.28515625" style="5" hidden="1" customWidth="1"/>
    <col min="24" max="24" width="9.140625" style="5" hidden="1" customWidth="1"/>
    <col min="25" max="25" width="11.7109375" style="5" hidden="1" customWidth="1"/>
    <col min="26" max="26" width="11.42578125" style="5" hidden="1" customWidth="1"/>
    <col min="27" max="27" width="12.140625" style="5" hidden="1" customWidth="1"/>
    <col min="28" max="28" width="0.140625" style="5" hidden="1" customWidth="1"/>
    <col min="29" max="29" width="11.7109375" style="5" hidden="1" customWidth="1"/>
    <col min="30" max="30" width="18.7109375" style="5" hidden="1" customWidth="1"/>
    <col min="31" max="31" width="16.28515625" style="5" hidden="1" customWidth="1"/>
    <col min="32" max="32" width="8.28515625" style="5" hidden="1" customWidth="1"/>
    <col min="33" max="33" width="1.5703125" style="5" customWidth="1"/>
    <col min="34" max="34" width="21.7109375" style="5" customWidth="1"/>
    <col min="35" max="35" width="1.28515625" style="5" customWidth="1"/>
    <col min="36" max="37" width="9.140625" style="5" hidden="1" customWidth="1"/>
    <col min="38" max="38" width="9.42578125" style="5" bestFit="1" customWidth="1"/>
    <col min="39" max="16384" width="9.140625" style="5"/>
  </cols>
  <sheetData>
    <row r="1" spans="1:39" ht="25.9" customHeight="1" x14ac:dyDescent="0.2">
      <c r="C1" s="134" t="s">
        <v>157</v>
      </c>
      <c r="D1" s="201" t="s">
        <v>293</v>
      </c>
      <c r="E1" s="201"/>
      <c r="F1" s="201"/>
      <c r="G1" s="201"/>
      <c r="H1" s="201"/>
      <c r="I1" s="201"/>
      <c r="J1" s="201"/>
      <c r="K1" s="201"/>
      <c r="L1" s="202" t="s">
        <v>166</v>
      </c>
      <c r="M1" s="202"/>
      <c r="N1" s="202"/>
      <c r="O1" s="202"/>
      <c r="P1" s="202"/>
      <c r="Q1" s="202"/>
      <c r="R1" s="109" t="s">
        <v>44</v>
      </c>
      <c r="S1" s="162">
        <f ca="1">TODAY()</f>
        <v>42440</v>
      </c>
      <c r="Z1" s="1" t="s">
        <v>130</v>
      </c>
      <c r="AA1" s="1" t="s">
        <v>131</v>
      </c>
      <c r="AH1" s="1"/>
      <c r="AL1" s="174" t="s">
        <v>244</v>
      </c>
    </row>
    <row r="2" spans="1:39" s="1" customFormat="1" ht="39" customHeight="1" x14ac:dyDescent="0.25">
      <c r="A2" s="69"/>
      <c r="B2" s="69"/>
      <c r="C2" s="4" t="s">
        <v>138</v>
      </c>
      <c r="D2" s="4" t="s">
        <v>137</v>
      </c>
      <c r="E2" s="4" t="s">
        <v>136</v>
      </c>
      <c r="F2" s="4" t="s">
        <v>235</v>
      </c>
      <c r="G2" s="4" t="s">
        <v>141</v>
      </c>
      <c r="H2" s="4" t="s">
        <v>142</v>
      </c>
      <c r="I2" s="54" t="s">
        <v>36</v>
      </c>
      <c r="J2" s="54" t="s">
        <v>228</v>
      </c>
      <c r="K2" s="54" t="s">
        <v>46</v>
      </c>
      <c r="L2" s="4" t="s">
        <v>38</v>
      </c>
      <c r="M2" s="54" t="s">
        <v>45</v>
      </c>
      <c r="N2" s="4" t="s">
        <v>39</v>
      </c>
      <c r="O2" s="83" t="s">
        <v>236</v>
      </c>
      <c r="P2" s="82" t="s">
        <v>168</v>
      </c>
      <c r="Q2" s="82" t="s">
        <v>163</v>
      </c>
      <c r="R2" s="82" t="s">
        <v>165</v>
      </c>
      <c r="S2" s="82" t="s">
        <v>167</v>
      </c>
      <c r="Z2" s="1">
        <v>0</v>
      </c>
      <c r="AC2" s="88" t="s">
        <v>234</v>
      </c>
      <c r="AD2" s="88" t="s">
        <v>159</v>
      </c>
      <c r="AE2" s="88" t="s">
        <v>140</v>
      </c>
      <c r="AF2" s="88" t="s">
        <v>139</v>
      </c>
    </row>
    <row r="3" spans="1:39" s="2" customFormat="1" x14ac:dyDescent="0.2">
      <c r="A3" s="66"/>
      <c r="B3" s="66"/>
      <c r="C3" s="194">
        <v>1000000</v>
      </c>
      <c r="D3" s="91">
        <v>42430</v>
      </c>
      <c r="E3" s="91">
        <v>42444</v>
      </c>
      <c r="F3" s="169">
        <f>((((G3/100)+1)*((H3/100)+1)*((I3/100)+1))-1)*100</f>
        <v>7.4070254399999813</v>
      </c>
      <c r="G3" s="90">
        <f>VLOOKUP(G4,'Taxa Pré'!A2:C100,3,FALSE)</f>
        <v>1.83</v>
      </c>
      <c r="H3" s="92">
        <v>1.42</v>
      </c>
      <c r="I3" s="95">
        <v>4</v>
      </c>
      <c r="J3" s="93" t="s">
        <v>229</v>
      </c>
      <c r="K3" s="93">
        <v>3</v>
      </c>
      <c r="L3" s="93">
        <v>4</v>
      </c>
      <c r="M3" s="94">
        <v>1</v>
      </c>
      <c r="N3" s="93">
        <v>48</v>
      </c>
      <c r="O3" s="168">
        <f>ROUND(((G3/P3)*1),2)</f>
        <v>2.4700000000000002</v>
      </c>
      <c r="P3" s="168">
        <f>VLOOKUP(E4,$AL$9:$AM$14,2,FALSE)</f>
        <v>0.74</v>
      </c>
      <c r="Q3" s="131">
        <f>VLOOKUP(Q4,$AJ$9:$AK$153,2,FALSE)</f>
        <v>8.9999999999999998E-4</v>
      </c>
      <c r="R3" s="132">
        <v>0</v>
      </c>
      <c r="S3" s="135">
        <f>(C3*R3*Q3*Q4)/(1-(Q3*R3)*Q4)</f>
        <v>0</v>
      </c>
      <c r="V3" s="66"/>
      <c r="Z3" s="85">
        <v>1</v>
      </c>
      <c r="AA3" s="89" t="s">
        <v>132</v>
      </c>
    </row>
    <row r="4" spans="1:39" s="1" customFormat="1" x14ac:dyDescent="0.2">
      <c r="A4" s="69"/>
      <c r="B4" s="69"/>
      <c r="E4" s="167">
        <f>YEAR(E3)</f>
        <v>2020</v>
      </c>
      <c r="G4" s="173" t="str">
        <f>YEAR(E3)&amp;"/"&amp;MONTH(E3)</f>
        <v>2020/3</v>
      </c>
      <c r="K4" s="125" t="str">
        <f>VLOOKUP(K3,$Z$2:$AA$6,2,FALSE)</f>
        <v>Trimestral</v>
      </c>
      <c r="L4" s="87"/>
      <c r="M4" s="87" t="str">
        <f>VLOOKUP(M3,$Z$2:$AA$6,2,FALSE)</f>
        <v>Mensal</v>
      </c>
      <c r="N4" s="87"/>
      <c r="O4" s="87"/>
      <c r="P4" s="87"/>
      <c r="Q4" s="125">
        <f>(K3*L3)+(M3*N3)</f>
        <v>60</v>
      </c>
      <c r="Z4" s="86">
        <v>3</v>
      </c>
      <c r="AA4" s="1" t="s">
        <v>133</v>
      </c>
    </row>
    <row r="5" spans="1:39" s="1" customFormat="1" ht="27" customHeight="1" x14ac:dyDescent="0.2">
      <c r="A5" s="69"/>
      <c r="B5" s="69"/>
      <c r="C5" s="206" t="str">
        <f>AC2&amp;IF(K3=0," sem Carência",AD2&amp;K4)&amp;IF(M3=0," sem Amortização",AE2&amp;M4&amp;AF2)</f>
        <v>Projeção de Valores em Reais (R$) - Considerando o Cálculo da Projeção Carência Trimestral e Amortização Mensal de Contratos com Dias Úteis</v>
      </c>
      <c r="D5" s="207"/>
      <c r="E5" s="207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9"/>
      <c r="X5" s="161">
        <f>R21/S22</f>
        <v>20833.333333333332</v>
      </c>
      <c r="Z5" s="86">
        <v>6</v>
      </c>
      <c r="AA5" s="1" t="s">
        <v>134</v>
      </c>
      <c r="AH5" s="133" t="s">
        <v>161</v>
      </c>
      <c r="AL5" s="133" t="s">
        <v>128</v>
      </c>
      <c r="AM5" s="133" t="s">
        <v>168</v>
      </c>
    </row>
    <row r="6" spans="1:39" s="1" customFormat="1" ht="13.15" customHeight="1" x14ac:dyDescent="0.2">
      <c r="A6" s="73"/>
      <c r="B6" s="147"/>
      <c r="C6" s="150"/>
      <c r="D6" s="156"/>
      <c r="E6" s="142"/>
      <c r="F6" s="211" t="s">
        <v>32</v>
      </c>
      <c r="G6" s="211"/>
      <c r="H6" s="152"/>
      <c r="I6" s="152"/>
      <c r="J6" s="213" t="s">
        <v>33</v>
      </c>
      <c r="K6" s="213"/>
      <c r="L6" s="213"/>
      <c r="M6" s="213"/>
      <c r="N6" s="214"/>
      <c r="O6" s="145"/>
      <c r="P6" s="145"/>
      <c r="Q6" s="145"/>
      <c r="R6" s="150"/>
      <c r="S6" s="145"/>
      <c r="Z6" s="86">
        <v>12</v>
      </c>
      <c r="AA6" s="1" t="s">
        <v>135</v>
      </c>
      <c r="AF6" s="1" t="s">
        <v>149</v>
      </c>
      <c r="AH6" s="203" t="s">
        <v>164</v>
      </c>
      <c r="AL6" s="195" t="s">
        <v>233</v>
      </c>
      <c r="AM6" s="196"/>
    </row>
    <row r="7" spans="1:39" s="1" customFormat="1" x14ac:dyDescent="0.2">
      <c r="A7" s="74"/>
      <c r="B7" s="148"/>
      <c r="C7" s="151"/>
      <c r="D7" s="157"/>
      <c r="E7" s="143"/>
      <c r="F7" s="212"/>
      <c r="G7" s="212"/>
      <c r="H7" s="153"/>
      <c r="I7" s="153"/>
      <c r="J7" s="215" t="s">
        <v>34</v>
      </c>
      <c r="K7" s="216"/>
      <c r="L7" s="217" t="s">
        <v>30</v>
      </c>
      <c r="M7" s="215"/>
      <c r="N7" s="154"/>
      <c r="O7" s="146"/>
      <c r="P7" s="146"/>
      <c r="Q7" s="146"/>
      <c r="R7" s="151"/>
      <c r="S7" s="146"/>
      <c r="AH7" s="204"/>
      <c r="AL7" s="197"/>
      <c r="AM7" s="198"/>
    </row>
    <row r="8" spans="1:39" s="1" customFormat="1" ht="27" customHeight="1" x14ac:dyDescent="0.2">
      <c r="A8" s="65" t="s">
        <v>128</v>
      </c>
      <c r="B8" s="149" t="s">
        <v>129</v>
      </c>
      <c r="C8" s="165" t="s">
        <v>40</v>
      </c>
      <c r="D8" s="158" t="s">
        <v>148</v>
      </c>
      <c r="E8" s="144" t="s">
        <v>171</v>
      </c>
      <c r="F8" s="101" t="s">
        <v>43</v>
      </c>
      <c r="G8" s="102" t="s">
        <v>41</v>
      </c>
      <c r="H8" s="175" t="s">
        <v>27</v>
      </c>
      <c r="I8" s="175" t="s">
        <v>28</v>
      </c>
      <c r="J8" s="103" t="s">
        <v>145</v>
      </c>
      <c r="K8" s="104" t="s">
        <v>35</v>
      </c>
      <c r="L8" s="104" t="s">
        <v>146</v>
      </c>
      <c r="M8" s="105" t="s">
        <v>147</v>
      </c>
      <c r="N8" s="155" t="s">
        <v>31</v>
      </c>
      <c r="O8" s="176" t="s">
        <v>143</v>
      </c>
      <c r="P8" s="176" t="s">
        <v>26</v>
      </c>
      <c r="Q8" s="176" t="s">
        <v>245</v>
      </c>
      <c r="R8" s="177" t="s">
        <v>42</v>
      </c>
      <c r="S8" s="176" t="s">
        <v>37</v>
      </c>
      <c r="AH8" s="205"/>
      <c r="AJ8" s="129" t="s">
        <v>162</v>
      </c>
      <c r="AK8" s="193" t="s">
        <v>284</v>
      </c>
      <c r="AL8" s="199"/>
      <c r="AM8" s="200"/>
    </row>
    <row r="9" spans="1:39" s="3" customFormat="1" x14ac:dyDescent="0.2">
      <c r="A9" s="75" t="str">
        <f>CONCATENATE(TEXT(YEAR(D9),"0000"))</f>
        <v>2020</v>
      </c>
      <c r="B9" s="75" t="str">
        <f>CONCATENATE((TEXT(MONTH(D9),"00")),"/",(TEXT(YEAR(D9),"0000")))</f>
        <v>03/2020</v>
      </c>
      <c r="C9" s="67">
        <f>D3</f>
        <v>42430</v>
      </c>
      <c r="D9" s="67">
        <f>C9</f>
        <v>42430</v>
      </c>
      <c r="E9" s="159"/>
      <c r="F9" s="56"/>
      <c r="G9" s="57"/>
      <c r="H9" s="68"/>
      <c r="I9" s="68"/>
      <c r="J9" s="61"/>
      <c r="K9" s="61"/>
      <c r="L9" s="61"/>
      <c r="M9" s="61"/>
      <c r="N9" s="68"/>
      <c r="O9" s="61"/>
      <c r="P9" s="61"/>
      <c r="Q9" s="61"/>
      <c r="R9" s="60">
        <f>C3+S3</f>
        <v>1000000</v>
      </c>
      <c r="S9" s="160"/>
      <c r="T9" s="3">
        <f>(K3*L3)</f>
        <v>12</v>
      </c>
      <c r="U9" s="63" t="str">
        <f t="shared" ref="U9" si="0">IF(T8=1,"A",IF(U8="A","A","C"))</f>
        <v>C</v>
      </c>
      <c r="V9" s="63" t="str">
        <f t="shared" ref="V9:V40" si="1">IF(U9="A","A",IF($J$3="E","E",IF($J$3="C","C",0)))</f>
        <v>E</v>
      </c>
      <c r="W9" s="84" t="str">
        <f t="shared" ref="W9:W40" si="2">IF(U9="C",$K$4,IF(U9="A",$M$4,""))</f>
        <v>Trimestral</v>
      </c>
      <c r="X9" s="3">
        <f>IF(W9="MENSAL",1,IF(W9="TRIMESTRAL",3,IF(W9="SEMESTRAL",6,IF(W9="ANUAL",12,0))))</f>
        <v>3</v>
      </c>
      <c r="Y9" s="3">
        <v>0</v>
      </c>
      <c r="Z9" s="3">
        <v>0</v>
      </c>
      <c r="AA9" s="3">
        <f>L3+1</f>
        <v>5</v>
      </c>
      <c r="AH9" s="126" t="s">
        <v>264</v>
      </c>
      <c r="AJ9" s="5">
        <v>1</v>
      </c>
      <c r="AK9" s="130">
        <v>1.1599999999999999E-2</v>
      </c>
      <c r="AL9" s="166">
        <v>2018</v>
      </c>
      <c r="AM9" s="164">
        <v>0.56999999999999995</v>
      </c>
    </row>
    <row r="10" spans="1:39" s="3" customFormat="1" x14ac:dyDescent="0.2">
      <c r="A10" s="76" t="str">
        <f t="shared" ref="A10:A34" si="3">CONCATENATE(TEXT(YEAR(D10),"0000"))</f>
        <v>2020</v>
      </c>
      <c r="B10" s="76" t="str">
        <f t="shared" ref="B10:B34" si="4">CONCATENATE((TEXT(MONTH(D10),"00")),"/",(TEXT(YEAR(D10),"0000")))</f>
        <v>05/2020</v>
      </c>
      <c r="C10" s="55" t="str">
        <f t="shared" ref="C10:C41" si="5">IF(S10="","",D10)</f>
        <v/>
      </c>
      <c r="D10" s="56">
        <f>WORKDAY((F10+14)-1,1,Feriados!$B$3:$B$626)</f>
        <v>42504</v>
      </c>
      <c r="E10" s="56">
        <f>IF(DAY(E3)&lt;16,DATEVALUE("15"&amp;"/"&amp;MONTH(E3)&amp;"/"&amp;YEAR(E3)),EDATE(DATEVALUE("15"&amp;"/"&amp;MONTH(E3)&amp;"/"&amp;YEAR(E3)),1))</f>
        <v>42474</v>
      </c>
      <c r="F10" s="56">
        <f>EOMONTH(E10,0)+1</f>
        <v>42490</v>
      </c>
      <c r="G10" s="57">
        <f>VLOOKUP(F10,'Série IPCA'!$K$10:$L$997,2,FALSE)</f>
        <v>0.32833333333333331</v>
      </c>
      <c r="H10" s="58">
        <f>NETWORKDAYS(IF(C9="",D9,C9),D10,Feriados!$B$3:$B$626)-1</f>
        <v>51</v>
      </c>
      <c r="I10" s="58">
        <f>NETWORKDAYS(E10,D10,Feriados!$B$3:$B$626)-1</f>
        <v>20</v>
      </c>
      <c r="J10" s="62">
        <f>(1+G10/100)^(H10/I10)</f>
        <v>1.0083938173433658</v>
      </c>
      <c r="K10" s="62">
        <f t="shared" ref="K10:K41" si="6">(1+$G$3/100)^(H10/252)</f>
        <v>1.0036768346199691</v>
      </c>
      <c r="L10" s="62">
        <f t="shared" ref="L10:L41" si="7">(1+$H$3/100)^(H10/252)</f>
        <v>1.0028576719828239</v>
      </c>
      <c r="M10" s="62">
        <f t="shared" ref="M10:M41" si="8">(1+$I$3/100)^(H10/252)</f>
        <v>1.0079691109501892</v>
      </c>
      <c r="N10" s="62">
        <f>IF(C9="",N9*J10*K10*L10*M10,J10*K10*L10*M10)</f>
        <v>1.0230823667408893</v>
      </c>
      <c r="O10" s="59">
        <f t="shared" ref="O10:O41" si="9">IF(X10=Y10,IFERROR(IF(C10="",0,ROUND(R9*(N10-1),2)),0),0)</f>
        <v>0</v>
      </c>
      <c r="P10" s="59">
        <f>IF(X10=Y10,IFERROR(IF(U10="A",ROUND(R9/S10,2),0),0),0)</f>
        <v>0</v>
      </c>
      <c r="Q10" s="59">
        <f>IF(U10="A",(O10+P10),IF(V10="C",0,(O10+P10)))</f>
        <v>0</v>
      </c>
      <c r="R10" s="60">
        <f>IF(V10="C",(R9-P10+O10),IF(V10="E",(R9+P10),IF(U10="A",(R9-P10),(R9-P10))))</f>
        <v>1000000</v>
      </c>
      <c r="S10" s="64" t="str">
        <f t="shared" ref="S10:S41" si="10">IF(Z10=0,"",IF(U10="C",AA10,IF(U10="A",AA10,"")))</f>
        <v/>
      </c>
      <c r="T10" s="3">
        <f t="shared" ref="T10:T33" si="11">IF($T$9-1=1,$N$3,IF(T9-1&lt;0,$N$3,T9-1))</f>
        <v>11</v>
      </c>
      <c r="U10" s="63" t="str">
        <f t="shared" ref="U10:U32" si="12">IF(T9=0,"A",IF(U9="A","A","C"))</f>
        <v>C</v>
      </c>
      <c r="V10" s="63" t="str">
        <f t="shared" si="1"/>
        <v>E</v>
      </c>
      <c r="W10" s="84" t="str">
        <f t="shared" si="2"/>
        <v>Trimestral</v>
      </c>
      <c r="X10" s="3">
        <f t="shared" ref="X10:X73" si="13">IF(W10="MENSAL",1,IF(W10="TRIMESTRAL",3,IF(W10="SEMESTRAL",6,IF(W10="ANUAL",12,0))))</f>
        <v>3</v>
      </c>
      <c r="Y10" s="3">
        <f t="shared" ref="Y10:Y41" si="14">IF(Y9=X9,1,Y9+1)</f>
        <v>1</v>
      </c>
      <c r="Z10" s="3">
        <f t="shared" ref="Z10:Z41" si="15">IF(X10=Y10,Y10/X10,0)</f>
        <v>0</v>
      </c>
      <c r="AA10" s="3">
        <f t="shared" ref="AA10:AA41" si="16">IF((AA9-Z10)=0,$N$3,AA9-Z10)</f>
        <v>5</v>
      </c>
      <c r="AH10" s="126" t="s">
        <v>265</v>
      </c>
      <c r="AJ10" s="5">
        <v>2</v>
      </c>
      <c r="AK10" s="130">
        <v>1.1599999999999999E-2</v>
      </c>
      <c r="AL10" s="166">
        <v>2019</v>
      </c>
      <c r="AM10" s="164">
        <v>0.66</v>
      </c>
    </row>
    <row r="11" spans="1:39" s="3" customFormat="1" x14ac:dyDescent="0.2">
      <c r="A11" s="76" t="str">
        <f t="shared" si="3"/>
        <v>2020</v>
      </c>
      <c r="B11" s="76" t="str">
        <f t="shared" si="4"/>
        <v>06/2020</v>
      </c>
      <c r="C11" s="55" t="str">
        <f t="shared" si="5"/>
        <v/>
      </c>
      <c r="D11" s="56">
        <f>WORKDAY((F11+14)-1,1,Feriados!$B$3:$B$626)</f>
        <v>42535</v>
      </c>
      <c r="E11" s="56">
        <f>EDATE(E10,1)</f>
        <v>42504</v>
      </c>
      <c r="F11" s="56">
        <f t="shared" ref="F11:F44" si="17">EOMONTH(E11,0)+1</f>
        <v>42521</v>
      </c>
      <c r="G11" s="57">
        <f>VLOOKUP(F11,'Série IPCA'!$K$10:$L$997,2,FALSE)</f>
        <v>0.29319444444444442</v>
      </c>
      <c r="H11" s="58">
        <f>NETWORKDAYS(IF(C10="",D10,C10),D11,Feriados!$B$3:$B$626)-1</f>
        <v>20</v>
      </c>
      <c r="I11" s="58">
        <f>NETWORKDAYS(E11,D11,Feriados!$B$3:$B$626)-1</f>
        <v>20</v>
      </c>
      <c r="J11" s="62">
        <f t="shared" ref="J11:J44" si="18">(1+G11/100)^(H11/I11)</f>
        <v>1.0029319444444444</v>
      </c>
      <c r="K11" s="62">
        <f t="shared" si="6"/>
        <v>1.0014402878224715</v>
      </c>
      <c r="L11" s="62">
        <f t="shared" si="7"/>
        <v>1.0011196838688423</v>
      </c>
      <c r="M11" s="62">
        <f t="shared" si="8"/>
        <v>1.0031176046646693</v>
      </c>
      <c r="N11" s="62">
        <f t="shared" ref="N11:N74" si="19">IF(C10="",N10*J11*K11*L11*M11,J11*K11*L11*M11)</f>
        <v>1.0319174952601298</v>
      </c>
      <c r="O11" s="59">
        <f t="shared" si="9"/>
        <v>0</v>
      </c>
      <c r="P11" s="59">
        <f t="shared" ref="P11:P74" si="20">IF(X11=Y11,IFERROR(IF(U11="A",ROUND(R10/S11,2),0),0),0)</f>
        <v>0</v>
      </c>
      <c r="Q11" s="59">
        <f t="shared" ref="Q11:Q25" si="21">IF(U11="A",(O11+P11),IF(V11="C",0,(O11+P11)))</f>
        <v>0</v>
      </c>
      <c r="R11" s="60">
        <f t="shared" ref="R11:R74" si="22">IF(V11="C",(R10-P11+O11),IF(V11="E",(R10+P11),IF(U11="A",(R10-P11),(R10-P11))))</f>
        <v>1000000</v>
      </c>
      <c r="S11" s="64" t="str">
        <f t="shared" si="10"/>
        <v/>
      </c>
      <c r="T11" s="3">
        <f t="shared" si="11"/>
        <v>10</v>
      </c>
      <c r="U11" s="63" t="str">
        <f t="shared" si="12"/>
        <v>C</v>
      </c>
      <c r="V11" s="63" t="str">
        <f t="shared" si="1"/>
        <v>E</v>
      </c>
      <c r="W11" s="84" t="str">
        <f t="shared" si="2"/>
        <v>Trimestral</v>
      </c>
      <c r="X11" s="3">
        <f t="shared" si="13"/>
        <v>3</v>
      </c>
      <c r="Y11" s="3">
        <f t="shared" si="14"/>
        <v>2</v>
      </c>
      <c r="Z11" s="3">
        <f t="shared" si="15"/>
        <v>0</v>
      </c>
      <c r="AA11" s="3">
        <f t="shared" si="16"/>
        <v>5</v>
      </c>
      <c r="AH11" s="126" t="s">
        <v>266</v>
      </c>
      <c r="AJ11" s="5">
        <v>3</v>
      </c>
      <c r="AK11" s="130">
        <v>1.1599999999999999E-2</v>
      </c>
      <c r="AL11" s="166">
        <v>2020</v>
      </c>
      <c r="AM11" s="164">
        <v>0.74</v>
      </c>
    </row>
    <row r="12" spans="1:39" s="3" customFormat="1" x14ac:dyDescent="0.2">
      <c r="A12" s="76" t="str">
        <f t="shared" si="3"/>
        <v>2020</v>
      </c>
      <c r="B12" s="76" t="str">
        <f t="shared" si="4"/>
        <v>07/2020</v>
      </c>
      <c r="C12" s="55">
        <f t="shared" si="5"/>
        <v>42565</v>
      </c>
      <c r="D12" s="56">
        <f>WORKDAY((F12+14)-1,1,Feriados!$B$3:$B$626)</f>
        <v>42565</v>
      </c>
      <c r="E12" s="56">
        <f t="shared" ref="E12:E75" si="23">EDATE(E11,1)</f>
        <v>42535</v>
      </c>
      <c r="F12" s="56">
        <f t="shared" si="17"/>
        <v>42551</v>
      </c>
      <c r="G12" s="57">
        <f>VLOOKUP(F12,'Série IPCA'!$K$10:$L$997,2,FALSE)</f>
        <v>0.27012731481481483</v>
      </c>
      <c r="H12" s="58">
        <f>NETWORKDAYS(IF(C11="",D11,C11),D12,Feriados!$B$3:$B$626)-1</f>
        <v>22</v>
      </c>
      <c r="I12" s="58">
        <f>NETWORKDAYS(E12,D12,Feriados!$B$3:$B$626)-1</f>
        <v>22</v>
      </c>
      <c r="J12" s="62">
        <f t="shared" si="18"/>
        <v>1.0027012731481482</v>
      </c>
      <c r="K12" s="62">
        <f t="shared" si="6"/>
        <v>1.0015844306490498</v>
      </c>
      <c r="L12" s="62">
        <f t="shared" si="7"/>
        <v>1.0012317211856352</v>
      </c>
      <c r="M12" s="62">
        <f t="shared" si="8"/>
        <v>1.0034298992021382</v>
      </c>
      <c r="N12" s="62">
        <f t="shared" si="19"/>
        <v>1.0411798270022601</v>
      </c>
      <c r="O12" s="59">
        <f t="shared" si="9"/>
        <v>41179.83</v>
      </c>
      <c r="P12" s="59">
        <f t="shared" si="20"/>
        <v>0</v>
      </c>
      <c r="Q12" s="59">
        <f t="shared" si="21"/>
        <v>41179.83</v>
      </c>
      <c r="R12" s="60">
        <f t="shared" si="22"/>
        <v>1000000</v>
      </c>
      <c r="S12" s="64">
        <f t="shared" si="10"/>
        <v>4</v>
      </c>
      <c r="T12" s="3">
        <f t="shared" si="11"/>
        <v>9</v>
      </c>
      <c r="U12" s="63" t="str">
        <f t="shared" si="12"/>
        <v>C</v>
      </c>
      <c r="V12" s="63" t="str">
        <f t="shared" si="1"/>
        <v>E</v>
      </c>
      <c r="W12" s="84" t="str">
        <f t="shared" si="2"/>
        <v>Trimestral</v>
      </c>
      <c r="X12" s="3">
        <f t="shared" si="13"/>
        <v>3</v>
      </c>
      <c r="Y12" s="3">
        <f t="shared" si="14"/>
        <v>3</v>
      </c>
      <c r="Z12" s="3">
        <f t="shared" si="15"/>
        <v>1</v>
      </c>
      <c r="AA12" s="3">
        <f t="shared" si="16"/>
        <v>4</v>
      </c>
      <c r="AH12" s="126" t="s">
        <v>267</v>
      </c>
      <c r="AJ12" s="5">
        <v>4</v>
      </c>
      <c r="AK12" s="130">
        <v>5.1000000000000004E-3</v>
      </c>
      <c r="AL12" s="166">
        <v>2021</v>
      </c>
      <c r="AM12" s="164">
        <v>0.83</v>
      </c>
    </row>
    <row r="13" spans="1:39" s="3" customFormat="1" x14ac:dyDescent="0.2">
      <c r="A13" s="76" t="str">
        <f t="shared" si="3"/>
        <v>2020</v>
      </c>
      <c r="B13" s="76" t="str">
        <f t="shared" si="4"/>
        <v>08/2020</v>
      </c>
      <c r="C13" s="55" t="str">
        <f t="shared" si="5"/>
        <v/>
      </c>
      <c r="D13" s="56">
        <f>WORKDAY((F13+14)-1,1,Feriados!$B$3:$B$626)</f>
        <v>42598</v>
      </c>
      <c r="E13" s="56">
        <f t="shared" si="23"/>
        <v>42565</v>
      </c>
      <c r="F13" s="56">
        <f t="shared" si="17"/>
        <v>42582</v>
      </c>
      <c r="G13" s="57">
        <f>VLOOKUP(F13,'Série IPCA'!$K$10:$L$997,2,FALSE)</f>
        <v>0.28180459104938266</v>
      </c>
      <c r="H13" s="58">
        <f>NETWORKDAYS(IF(C12="",D12,C12),D13,Feriados!$B$3:$B$626)-1</f>
        <v>23</v>
      </c>
      <c r="I13" s="58">
        <f>NETWORKDAYS(E13,D13,Feriados!$B$3:$B$626)-1</f>
        <v>23</v>
      </c>
      <c r="J13" s="62">
        <f t="shared" si="18"/>
        <v>1.0028180459104938</v>
      </c>
      <c r="K13" s="62">
        <f t="shared" si="6"/>
        <v>1.0016565098423793</v>
      </c>
      <c r="L13" s="62">
        <f t="shared" si="7"/>
        <v>1.0012877445458146</v>
      </c>
      <c r="M13" s="62">
        <f t="shared" si="8"/>
        <v>1.0035860829282697</v>
      </c>
      <c r="N13" s="62">
        <f t="shared" si="19"/>
        <v>1.009379520955725</v>
      </c>
      <c r="O13" s="59">
        <f t="shared" si="9"/>
        <v>0</v>
      </c>
      <c r="P13" s="59">
        <f t="shared" si="20"/>
        <v>0</v>
      </c>
      <c r="Q13" s="59">
        <f t="shared" si="21"/>
        <v>0</v>
      </c>
      <c r="R13" s="60">
        <f t="shared" si="22"/>
        <v>1000000</v>
      </c>
      <c r="S13" s="64" t="str">
        <f t="shared" si="10"/>
        <v/>
      </c>
      <c r="T13" s="3">
        <f t="shared" si="11"/>
        <v>8</v>
      </c>
      <c r="U13" s="63" t="str">
        <f t="shared" si="12"/>
        <v>C</v>
      </c>
      <c r="V13" s="63" t="str">
        <f t="shared" si="1"/>
        <v>E</v>
      </c>
      <c r="W13" s="84" t="str">
        <f t="shared" si="2"/>
        <v>Trimestral</v>
      </c>
      <c r="X13" s="3">
        <f t="shared" si="13"/>
        <v>3</v>
      </c>
      <c r="Y13" s="3">
        <f t="shared" si="14"/>
        <v>1</v>
      </c>
      <c r="Z13" s="3">
        <f t="shared" si="15"/>
        <v>0</v>
      </c>
      <c r="AA13" s="3">
        <f t="shared" si="16"/>
        <v>4</v>
      </c>
      <c r="AH13" s="126" t="s">
        <v>268</v>
      </c>
      <c r="AJ13" s="5">
        <v>5</v>
      </c>
      <c r="AK13" s="130">
        <v>5.1000000000000004E-3</v>
      </c>
      <c r="AL13" s="166">
        <v>2022</v>
      </c>
      <c r="AM13" s="164">
        <v>0.91</v>
      </c>
    </row>
    <row r="14" spans="1:39" s="3" customFormat="1" x14ac:dyDescent="0.2">
      <c r="A14" s="76" t="str">
        <f t="shared" si="3"/>
        <v>2020</v>
      </c>
      <c r="B14" s="76" t="str">
        <f t="shared" si="4"/>
        <v>09/2020</v>
      </c>
      <c r="C14" s="55" t="str">
        <f t="shared" si="5"/>
        <v/>
      </c>
      <c r="D14" s="56">
        <f>WORKDAY((F14+14)-1,1,Feriados!$B$3:$B$626)</f>
        <v>42627</v>
      </c>
      <c r="E14" s="56">
        <f t="shared" si="23"/>
        <v>42596</v>
      </c>
      <c r="F14" s="56">
        <f t="shared" si="17"/>
        <v>42613</v>
      </c>
      <c r="G14" s="57">
        <f>VLOOKUP(F14,'Série IPCA'!$K$10:$L$997,2,FALSE)</f>
        <v>0.30445497363683122</v>
      </c>
      <c r="H14" s="58">
        <f>NETWORKDAYS(IF(C13="",D13,C13),D14,Feriados!$B$3:$B$626)-1</f>
        <v>20</v>
      </c>
      <c r="I14" s="58">
        <f>NETWORKDAYS(E14,D14,Feriados!$B$3:$B$626)-1</f>
        <v>20</v>
      </c>
      <c r="J14" s="62">
        <f t="shared" si="18"/>
        <v>1.0030445497363683</v>
      </c>
      <c r="K14" s="62">
        <f t="shared" si="6"/>
        <v>1.0014402878224715</v>
      </c>
      <c r="L14" s="62">
        <f t="shared" si="7"/>
        <v>1.0011196838688423</v>
      </c>
      <c r="M14" s="62">
        <f t="shared" si="8"/>
        <v>1.0031176046646693</v>
      </c>
      <c r="N14" s="62">
        <f t="shared" si="19"/>
        <v>1.0182106224104785</v>
      </c>
      <c r="O14" s="59">
        <f t="shared" si="9"/>
        <v>0</v>
      </c>
      <c r="P14" s="59">
        <f t="shared" si="20"/>
        <v>0</v>
      </c>
      <c r="Q14" s="59">
        <f t="shared" si="21"/>
        <v>0</v>
      </c>
      <c r="R14" s="60">
        <f t="shared" si="22"/>
        <v>1000000</v>
      </c>
      <c r="S14" s="64" t="str">
        <f t="shared" si="10"/>
        <v/>
      </c>
      <c r="T14" s="3">
        <f t="shared" si="11"/>
        <v>7</v>
      </c>
      <c r="U14" s="63" t="str">
        <f t="shared" si="12"/>
        <v>C</v>
      </c>
      <c r="V14" s="63" t="str">
        <f t="shared" si="1"/>
        <v>E</v>
      </c>
      <c r="W14" s="84" t="str">
        <f t="shared" si="2"/>
        <v>Trimestral</v>
      </c>
      <c r="X14" s="3">
        <f t="shared" si="13"/>
        <v>3</v>
      </c>
      <c r="Y14" s="3">
        <f t="shared" si="14"/>
        <v>2</v>
      </c>
      <c r="Z14" s="3">
        <f t="shared" si="15"/>
        <v>0</v>
      </c>
      <c r="AA14" s="3">
        <f t="shared" si="16"/>
        <v>4</v>
      </c>
      <c r="AH14" s="126" t="s">
        <v>269</v>
      </c>
      <c r="AJ14" s="5">
        <v>6</v>
      </c>
      <c r="AK14" s="130">
        <v>5.1000000000000004E-3</v>
      </c>
      <c r="AL14" s="166">
        <v>2023</v>
      </c>
      <c r="AM14" s="164">
        <v>1</v>
      </c>
    </row>
    <row r="15" spans="1:39" s="3" customFormat="1" x14ac:dyDescent="0.2">
      <c r="A15" s="76" t="str">
        <f t="shared" si="3"/>
        <v>2020</v>
      </c>
      <c r="B15" s="76" t="str">
        <f t="shared" si="4"/>
        <v>10/2020</v>
      </c>
      <c r="C15" s="55">
        <f t="shared" si="5"/>
        <v>42657</v>
      </c>
      <c r="D15" s="56">
        <f>WORKDAY((F15+14)-1,1,Feriados!$B$3:$B$626)</f>
        <v>42657</v>
      </c>
      <c r="E15" s="56">
        <f t="shared" si="23"/>
        <v>42627</v>
      </c>
      <c r="F15" s="56">
        <f t="shared" si="17"/>
        <v>42643</v>
      </c>
      <c r="G15" s="57">
        <f>VLOOKUP(F15,'Série IPCA'!$K$10:$L$997,2,FALSE)</f>
        <v>0.31399288810656717</v>
      </c>
      <c r="H15" s="58">
        <f>NETWORKDAYS(IF(C14="",D14,C14),D15,Feriados!$B$3:$B$626)-1</f>
        <v>21</v>
      </c>
      <c r="I15" s="58">
        <f>NETWORKDAYS(E15,D15,Feriados!$B$3:$B$626)-1</f>
        <v>21</v>
      </c>
      <c r="J15" s="62">
        <f t="shared" si="18"/>
        <v>1.0031399288810656</v>
      </c>
      <c r="K15" s="62">
        <f t="shared" si="6"/>
        <v>1.0015123566425381</v>
      </c>
      <c r="L15" s="62">
        <f t="shared" si="7"/>
        <v>1.0011757009600362</v>
      </c>
      <c r="M15" s="62">
        <f t="shared" si="8"/>
        <v>1.0032737397821989</v>
      </c>
      <c r="N15" s="62">
        <f t="shared" si="19"/>
        <v>1.0275079677708971</v>
      </c>
      <c r="O15" s="59">
        <f t="shared" si="9"/>
        <v>27507.97</v>
      </c>
      <c r="P15" s="59">
        <f t="shared" si="20"/>
        <v>0</v>
      </c>
      <c r="Q15" s="59">
        <f t="shared" si="21"/>
        <v>27507.97</v>
      </c>
      <c r="R15" s="60">
        <f t="shared" si="22"/>
        <v>1000000</v>
      </c>
      <c r="S15" s="64">
        <f t="shared" si="10"/>
        <v>3</v>
      </c>
      <c r="T15" s="3">
        <f t="shared" si="11"/>
        <v>6</v>
      </c>
      <c r="U15" s="63" t="str">
        <f t="shared" si="12"/>
        <v>C</v>
      </c>
      <c r="V15" s="63" t="str">
        <f t="shared" si="1"/>
        <v>E</v>
      </c>
      <c r="W15" s="84" t="str">
        <f t="shared" si="2"/>
        <v>Trimestral</v>
      </c>
      <c r="X15" s="3">
        <f t="shared" si="13"/>
        <v>3</v>
      </c>
      <c r="Y15" s="3">
        <f t="shared" si="14"/>
        <v>3</v>
      </c>
      <c r="Z15" s="3">
        <f t="shared" si="15"/>
        <v>1</v>
      </c>
      <c r="AA15" s="3">
        <f t="shared" si="16"/>
        <v>3</v>
      </c>
      <c r="AH15" s="126" t="s">
        <v>270</v>
      </c>
      <c r="AJ15" s="5">
        <v>7</v>
      </c>
      <c r="AK15" s="130">
        <v>3.5000000000000001E-3</v>
      </c>
    </row>
    <row r="16" spans="1:39" s="3" customFormat="1" x14ac:dyDescent="0.2">
      <c r="A16" s="76" t="str">
        <f t="shared" si="3"/>
        <v>2020</v>
      </c>
      <c r="B16" s="76" t="str">
        <f t="shared" si="4"/>
        <v>11/2020</v>
      </c>
      <c r="C16" s="55" t="str">
        <f t="shared" si="5"/>
        <v/>
      </c>
      <c r="D16" s="56">
        <f>WORKDAY((F16+14)-1,1,Feriados!$B$3:$B$626)</f>
        <v>42689</v>
      </c>
      <c r="E16" s="56">
        <f t="shared" si="23"/>
        <v>42657</v>
      </c>
      <c r="F16" s="56">
        <f t="shared" si="17"/>
        <v>42674</v>
      </c>
      <c r="G16" s="57">
        <f>VLOOKUP(F16,'Série IPCA'!$K$10:$L$997,2,FALSE)</f>
        <v>0.33099229544878112</v>
      </c>
      <c r="H16" s="58">
        <f>NETWORKDAYS(IF(C15="",D15,C15),D16,Feriados!$B$3:$B$626)-1</f>
        <v>21</v>
      </c>
      <c r="I16" s="58">
        <f>NETWORKDAYS(E16,D16,Feriados!$B$3:$B$626)-1</f>
        <v>21</v>
      </c>
      <c r="J16" s="62">
        <f t="shared" si="18"/>
        <v>1.0033099229544877</v>
      </c>
      <c r="K16" s="62">
        <f t="shared" si="6"/>
        <v>1.0015123566425381</v>
      </c>
      <c r="L16" s="62">
        <f t="shared" si="7"/>
        <v>1.0011757009600362</v>
      </c>
      <c r="M16" s="62">
        <f t="shared" si="8"/>
        <v>1.0032737397821989</v>
      </c>
      <c r="N16" s="62">
        <f t="shared" si="19"/>
        <v>1.0093020723624078</v>
      </c>
      <c r="O16" s="59">
        <f t="shared" si="9"/>
        <v>0</v>
      </c>
      <c r="P16" s="59">
        <f t="shared" si="20"/>
        <v>0</v>
      </c>
      <c r="Q16" s="59">
        <f t="shared" si="21"/>
        <v>0</v>
      </c>
      <c r="R16" s="60">
        <f t="shared" si="22"/>
        <v>1000000</v>
      </c>
      <c r="S16" s="64" t="str">
        <f t="shared" si="10"/>
        <v/>
      </c>
      <c r="T16" s="3">
        <f t="shared" si="11"/>
        <v>5</v>
      </c>
      <c r="U16" s="63" t="str">
        <f t="shared" si="12"/>
        <v>C</v>
      </c>
      <c r="V16" s="63" t="str">
        <f t="shared" si="1"/>
        <v>E</v>
      </c>
      <c r="W16" s="84" t="str">
        <f t="shared" si="2"/>
        <v>Trimestral</v>
      </c>
      <c r="X16" s="3">
        <f t="shared" si="13"/>
        <v>3</v>
      </c>
      <c r="Y16" s="3">
        <f t="shared" si="14"/>
        <v>1</v>
      </c>
      <c r="Z16" s="3">
        <f t="shared" si="15"/>
        <v>0</v>
      </c>
      <c r="AA16" s="3">
        <f t="shared" si="16"/>
        <v>3</v>
      </c>
      <c r="AH16" s="126" t="s">
        <v>271</v>
      </c>
      <c r="AI16" s="84"/>
      <c r="AJ16" s="5">
        <v>8</v>
      </c>
      <c r="AK16" s="130">
        <v>3.5000000000000001E-3</v>
      </c>
    </row>
    <row r="17" spans="1:37" s="3" customFormat="1" x14ac:dyDescent="0.2">
      <c r="A17" s="76" t="str">
        <f t="shared" si="3"/>
        <v>2020</v>
      </c>
      <c r="B17" s="76" t="str">
        <f t="shared" si="4"/>
        <v>12/2020</v>
      </c>
      <c r="C17" s="55" t="str">
        <f t="shared" si="5"/>
        <v/>
      </c>
      <c r="D17" s="56">
        <f>WORKDAY((F17+14)-1,1,Feriados!$B$3:$B$626)</f>
        <v>42718</v>
      </c>
      <c r="E17" s="56">
        <f t="shared" si="23"/>
        <v>42688</v>
      </c>
      <c r="F17" s="56">
        <f t="shared" si="17"/>
        <v>42704</v>
      </c>
      <c r="G17" s="57">
        <f>VLOOKUP(F17,'Série IPCA'!$K$10:$L$997,2,FALSE)</f>
        <v>0.36190832006951285</v>
      </c>
      <c r="H17" s="58">
        <f>NETWORKDAYS(IF(C16="",D16,C16),D17,Feriados!$B$3:$B$626)-1</f>
        <v>21</v>
      </c>
      <c r="I17" s="58">
        <f>NETWORKDAYS(E17,D17,Feriados!$B$3:$B$626)-1</f>
        <v>21</v>
      </c>
      <c r="J17" s="62">
        <f t="shared" si="18"/>
        <v>1.003619083200695</v>
      </c>
      <c r="K17" s="62">
        <f t="shared" si="6"/>
        <v>1.0015123566425381</v>
      </c>
      <c r="L17" s="62">
        <f t="shared" si="7"/>
        <v>1.0011757009600362</v>
      </c>
      <c r="M17" s="62">
        <f t="shared" si="8"/>
        <v>1.0032737397821989</v>
      </c>
      <c r="N17" s="62">
        <f t="shared" si="19"/>
        <v>1.0190045729506683</v>
      </c>
      <c r="O17" s="59">
        <f t="shared" si="9"/>
        <v>0</v>
      </c>
      <c r="P17" s="59">
        <f t="shared" si="20"/>
        <v>0</v>
      </c>
      <c r="Q17" s="59">
        <f t="shared" si="21"/>
        <v>0</v>
      </c>
      <c r="R17" s="60">
        <f t="shared" si="22"/>
        <v>1000000</v>
      </c>
      <c r="S17" s="64" t="str">
        <f t="shared" si="10"/>
        <v/>
      </c>
      <c r="T17" s="3">
        <f t="shared" si="11"/>
        <v>4</v>
      </c>
      <c r="U17" s="63" t="str">
        <f t="shared" si="12"/>
        <v>C</v>
      </c>
      <c r="V17" s="63" t="str">
        <f t="shared" si="1"/>
        <v>E</v>
      </c>
      <c r="W17" s="84" t="str">
        <f t="shared" si="2"/>
        <v>Trimestral</v>
      </c>
      <c r="X17" s="3">
        <f t="shared" si="13"/>
        <v>3</v>
      </c>
      <c r="Y17" s="3">
        <f t="shared" si="14"/>
        <v>2</v>
      </c>
      <c r="Z17" s="3">
        <f t="shared" si="15"/>
        <v>0</v>
      </c>
      <c r="AA17" s="3">
        <f t="shared" si="16"/>
        <v>3</v>
      </c>
      <c r="AH17" s="126" t="s">
        <v>272</v>
      </c>
      <c r="AJ17" s="5">
        <v>9</v>
      </c>
      <c r="AK17" s="130">
        <v>3.5000000000000001E-3</v>
      </c>
    </row>
    <row r="18" spans="1:37" s="3" customFormat="1" x14ac:dyDescent="0.2">
      <c r="A18" s="76" t="str">
        <f t="shared" si="3"/>
        <v>2021</v>
      </c>
      <c r="B18" s="76" t="str">
        <f t="shared" si="4"/>
        <v>01/2021</v>
      </c>
      <c r="C18" s="55">
        <f t="shared" si="5"/>
        <v>42749</v>
      </c>
      <c r="D18" s="56">
        <f>WORKDAY((F18+14)-1,1,Feriados!$B$3:$B$626)</f>
        <v>42749</v>
      </c>
      <c r="E18" s="56">
        <f t="shared" si="23"/>
        <v>42718</v>
      </c>
      <c r="F18" s="56">
        <f t="shared" si="17"/>
        <v>42735</v>
      </c>
      <c r="G18" s="57">
        <f>VLOOKUP(F18,'Série IPCA'!$K$10:$L$997,2,FALSE)</f>
        <v>0.38373401340863894</v>
      </c>
      <c r="H18" s="58">
        <f>NETWORKDAYS(IF(C17="",D17,C17),D18,Feriados!$B$3:$B$626)-1</f>
        <v>21</v>
      </c>
      <c r="I18" s="58">
        <f>NETWORKDAYS(E18,D18,Feriados!$B$3:$B$626)-1</f>
        <v>21</v>
      </c>
      <c r="J18" s="62">
        <f t="shared" si="18"/>
        <v>1.0038373401340863</v>
      </c>
      <c r="K18" s="62">
        <f t="shared" si="6"/>
        <v>1.0015123566425381</v>
      </c>
      <c r="L18" s="62">
        <f t="shared" si="7"/>
        <v>1.0011757009600362</v>
      </c>
      <c r="M18" s="62">
        <f t="shared" si="8"/>
        <v>1.0032737397821989</v>
      </c>
      <c r="N18" s="62">
        <f t="shared" si="19"/>
        <v>1.0290240775434349</v>
      </c>
      <c r="O18" s="59">
        <f t="shared" si="9"/>
        <v>29024.080000000002</v>
      </c>
      <c r="P18" s="59">
        <f t="shared" si="20"/>
        <v>0</v>
      </c>
      <c r="Q18" s="59">
        <f t="shared" si="21"/>
        <v>29024.080000000002</v>
      </c>
      <c r="R18" s="60">
        <f t="shared" si="22"/>
        <v>1000000</v>
      </c>
      <c r="S18" s="64">
        <f t="shared" si="10"/>
        <v>2</v>
      </c>
      <c r="T18" s="3">
        <f t="shared" si="11"/>
        <v>3</v>
      </c>
      <c r="U18" s="63" t="str">
        <f t="shared" si="12"/>
        <v>C</v>
      </c>
      <c r="V18" s="63" t="str">
        <f t="shared" si="1"/>
        <v>E</v>
      </c>
      <c r="W18" s="84" t="str">
        <f t="shared" si="2"/>
        <v>Trimestral</v>
      </c>
      <c r="X18" s="3">
        <f t="shared" si="13"/>
        <v>3</v>
      </c>
      <c r="Y18" s="3">
        <f t="shared" si="14"/>
        <v>3</v>
      </c>
      <c r="Z18" s="3">
        <f t="shared" si="15"/>
        <v>1</v>
      </c>
      <c r="AA18" s="3">
        <f t="shared" si="16"/>
        <v>2</v>
      </c>
      <c r="AH18" s="126" t="s">
        <v>273</v>
      </c>
      <c r="AJ18" s="5">
        <v>10</v>
      </c>
      <c r="AK18" s="130">
        <v>2.7000000000000001E-3</v>
      </c>
    </row>
    <row r="19" spans="1:37" s="3" customFormat="1" x14ac:dyDescent="0.2">
      <c r="A19" s="76" t="str">
        <f t="shared" si="3"/>
        <v>2021</v>
      </c>
      <c r="B19" s="76" t="str">
        <f t="shared" si="4"/>
        <v>02/2021</v>
      </c>
      <c r="C19" s="55" t="str">
        <f t="shared" si="5"/>
        <v/>
      </c>
      <c r="D19" s="56">
        <f>WORKDAY((F19+14)-1,1,Feriados!$B$3:$B$626)</f>
        <v>42782</v>
      </c>
      <c r="E19" s="56">
        <f t="shared" si="23"/>
        <v>42749</v>
      </c>
      <c r="F19" s="56">
        <f t="shared" si="17"/>
        <v>42766</v>
      </c>
      <c r="G19" s="57">
        <f>VLOOKUP(F19,'Série IPCA'!$K$10:$L$997,2,FALSE)</f>
        <v>0.3732118478593589</v>
      </c>
      <c r="H19" s="58">
        <f>NETWORKDAYS(IF(C18="",D18,C18),D19,Feriados!$B$3:$B$626)-1</f>
        <v>21</v>
      </c>
      <c r="I19" s="58">
        <f>NETWORKDAYS(E19,D19,Feriados!$B$3:$B$626)-1</f>
        <v>21</v>
      </c>
      <c r="J19" s="62">
        <f t="shared" si="18"/>
        <v>1.0037321184785937</v>
      </c>
      <c r="K19" s="62">
        <f t="shared" si="6"/>
        <v>1.0015123566425381</v>
      </c>
      <c r="L19" s="62">
        <f t="shared" si="7"/>
        <v>1.0011757009600362</v>
      </c>
      <c r="M19" s="62">
        <f t="shared" si="8"/>
        <v>1.0032737397821989</v>
      </c>
      <c r="N19" s="62">
        <f t="shared" si="19"/>
        <v>1.0097267893991608</v>
      </c>
      <c r="O19" s="59">
        <f t="shared" si="9"/>
        <v>0</v>
      </c>
      <c r="P19" s="59">
        <f t="shared" si="20"/>
        <v>0</v>
      </c>
      <c r="Q19" s="59">
        <f t="shared" si="21"/>
        <v>0</v>
      </c>
      <c r="R19" s="60">
        <f t="shared" si="22"/>
        <v>1000000</v>
      </c>
      <c r="S19" s="64" t="str">
        <f t="shared" si="10"/>
        <v/>
      </c>
      <c r="T19" s="3">
        <f t="shared" si="11"/>
        <v>2</v>
      </c>
      <c r="U19" s="63" t="str">
        <f t="shared" si="12"/>
        <v>C</v>
      </c>
      <c r="V19" s="63" t="str">
        <f t="shared" si="1"/>
        <v>E</v>
      </c>
      <c r="W19" s="84" t="str">
        <f t="shared" si="2"/>
        <v>Trimestral</v>
      </c>
      <c r="X19" s="3">
        <f t="shared" si="13"/>
        <v>3</v>
      </c>
      <c r="Y19" s="3">
        <f t="shared" si="14"/>
        <v>1</v>
      </c>
      <c r="Z19" s="3">
        <f t="shared" si="15"/>
        <v>0</v>
      </c>
      <c r="AA19" s="3">
        <f t="shared" si="16"/>
        <v>2</v>
      </c>
      <c r="AH19" s="126" t="s">
        <v>160</v>
      </c>
      <c r="AJ19" s="5">
        <v>11</v>
      </c>
      <c r="AK19" s="130">
        <v>2.7000000000000001E-3</v>
      </c>
    </row>
    <row r="20" spans="1:37" s="3" customFormat="1" x14ac:dyDescent="0.2">
      <c r="A20" s="76" t="str">
        <f t="shared" si="3"/>
        <v>2021</v>
      </c>
      <c r="B20" s="76" t="str">
        <f t="shared" si="4"/>
        <v>03/2021</v>
      </c>
      <c r="C20" s="55" t="str">
        <f t="shared" si="5"/>
        <v/>
      </c>
      <c r="D20" s="56">
        <f>WORKDAY((F20+14)-1,1,Feriados!$B$3:$B$626)</f>
        <v>42808</v>
      </c>
      <c r="E20" s="56">
        <f t="shared" si="23"/>
        <v>42780</v>
      </c>
      <c r="F20" s="56">
        <f t="shared" si="17"/>
        <v>42794</v>
      </c>
      <c r="G20" s="57">
        <f>VLOOKUP(F20,'Série IPCA'!$K$10:$L$997,2,FALSE)</f>
        <v>0.30847950184763878</v>
      </c>
      <c r="H20" s="58">
        <f>NETWORKDAYS(IF(C19="",D19,C19),D20,Feriados!$B$3:$B$626)-1</f>
        <v>18</v>
      </c>
      <c r="I20" s="58">
        <f>NETWORKDAYS(E20,D20,Feriados!$B$3:$B$626)-1</f>
        <v>18</v>
      </c>
      <c r="J20" s="62">
        <f t="shared" si="18"/>
        <v>1.0030847950184765</v>
      </c>
      <c r="K20" s="62">
        <f t="shared" si="6"/>
        <v>1.0012961657401798</v>
      </c>
      <c r="L20" s="62">
        <f t="shared" si="7"/>
        <v>1.0010076590889676</v>
      </c>
      <c r="M20" s="62">
        <f t="shared" si="8"/>
        <v>1.0028054073217112</v>
      </c>
      <c r="N20" s="62">
        <f t="shared" si="19"/>
        <v>1.0180243051233351</v>
      </c>
      <c r="O20" s="59">
        <f t="shared" si="9"/>
        <v>0</v>
      </c>
      <c r="P20" s="59">
        <f t="shared" si="20"/>
        <v>0</v>
      </c>
      <c r="Q20" s="59">
        <f t="shared" si="21"/>
        <v>0</v>
      </c>
      <c r="R20" s="60">
        <f t="shared" si="22"/>
        <v>1000000</v>
      </c>
      <c r="S20" s="64" t="str">
        <f t="shared" si="10"/>
        <v/>
      </c>
      <c r="T20" s="3">
        <f t="shared" si="11"/>
        <v>1</v>
      </c>
      <c r="U20" s="63" t="str">
        <f t="shared" si="12"/>
        <v>C</v>
      </c>
      <c r="V20" s="63" t="str">
        <f t="shared" si="1"/>
        <v>E</v>
      </c>
      <c r="W20" s="84" t="str">
        <f t="shared" si="2"/>
        <v>Trimestral</v>
      </c>
      <c r="X20" s="3">
        <f t="shared" si="13"/>
        <v>3</v>
      </c>
      <c r="Y20" s="3">
        <f t="shared" si="14"/>
        <v>2</v>
      </c>
      <c r="Z20" s="3">
        <f t="shared" si="15"/>
        <v>0</v>
      </c>
      <c r="AA20" s="3">
        <f t="shared" si="16"/>
        <v>2</v>
      </c>
      <c r="AH20" s="126" t="s">
        <v>274</v>
      </c>
      <c r="AJ20" s="5">
        <v>12</v>
      </c>
      <c r="AK20" s="130">
        <v>2.7000000000000001E-3</v>
      </c>
    </row>
    <row r="21" spans="1:37" s="3" customFormat="1" x14ac:dyDescent="0.2">
      <c r="A21" s="76" t="str">
        <f t="shared" si="3"/>
        <v>2021</v>
      </c>
      <c r="B21" s="76" t="str">
        <f t="shared" si="4"/>
        <v>04/2021</v>
      </c>
      <c r="C21" s="55">
        <f t="shared" si="5"/>
        <v>42839</v>
      </c>
      <c r="D21" s="56">
        <f>WORKDAY((F21+14)-1,1,Feriados!$B$3:$B$626)</f>
        <v>42839</v>
      </c>
      <c r="E21" s="56">
        <f t="shared" si="23"/>
        <v>42808</v>
      </c>
      <c r="F21" s="56">
        <f t="shared" si="17"/>
        <v>42825</v>
      </c>
      <c r="G21" s="57">
        <f>VLOOKUP(F21,'Série IPCA'!$K$10:$L$997,2,FALSE)</f>
        <v>0.3166861270016087</v>
      </c>
      <c r="H21" s="58">
        <f>NETWORKDAYS(IF(C20="",D20,C20),D21,Feriados!$B$3:$B$626)-1</f>
        <v>22</v>
      </c>
      <c r="I21" s="58">
        <f>NETWORKDAYS(E21,D21,Feriados!$B$3:$B$626)-1</f>
        <v>22</v>
      </c>
      <c r="J21" s="62">
        <f t="shared" si="18"/>
        <v>1.0031668612700162</v>
      </c>
      <c r="K21" s="62">
        <f t="shared" si="6"/>
        <v>1.0015844306490498</v>
      </c>
      <c r="L21" s="62">
        <f t="shared" si="7"/>
        <v>1.0012317211856352</v>
      </c>
      <c r="M21" s="62">
        <f t="shared" si="8"/>
        <v>1.0034298992021382</v>
      </c>
      <c r="N21" s="62">
        <f t="shared" si="19"/>
        <v>1.0276388797749203</v>
      </c>
      <c r="O21" s="59">
        <f t="shared" si="9"/>
        <v>27638.880000000001</v>
      </c>
      <c r="P21" s="59">
        <f t="shared" si="20"/>
        <v>0</v>
      </c>
      <c r="Q21" s="59">
        <f t="shared" si="21"/>
        <v>27638.880000000001</v>
      </c>
      <c r="R21" s="60">
        <f t="shared" si="22"/>
        <v>1000000</v>
      </c>
      <c r="S21" s="64">
        <f t="shared" si="10"/>
        <v>1</v>
      </c>
      <c r="T21" s="3">
        <f t="shared" si="11"/>
        <v>0</v>
      </c>
      <c r="U21" s="63" t="str">
        <f t="shared" si="12"/>
        <v>C</v>
      </c>
      <c r="V21" s="63" t="str">
        <f t="shared" si="1"/>
        <v>E</v>
      </c>
      <c r="W21" s="84" t="str">
        <f t="shared" si="2"/>
        <v>Trimestral</v>
      </c>
      <c r="X21" s="3">
        <f t="shared" si="13"/>
        <v>3</v>
      </c>
      <c r="Y21" s="3">
        <f t="shared" si="14"/>
        <v>3</v>
      </c>
      <c r="Z21" s="3">
        <f t="shared" si="15"/>
        <v>1</v>
      </c>
      <c r="AA21" s="3">
        <f t="shared" si="16"/>
        <v>1</v>
      </c>
      <c r="AH21" s="126" t="s">
        <v>275</v>
      </c>
      <c r="AJ21" s="5">
        <v>13</v>
      </c>
      <c r="AK21" s="130">
        <v>2.3E-3</v>
      </c>
    </row>
    <row r="22" spans="1:37" s="3" customFormat="1" x14ac:dyDescent="0.2">
      <c r="A22" s="76" t="str">
        <f t="shared" si="3"/>
        <v>2021</v>
      </c>
      <c r="B22" s="76" t="str">
        <f t="shared" si="4"/>
        <v>05/2021</v>
      </c>
      <c r="C22" s="55">
        <f t="shared" si="5"/>
        <v>42871</v>
      </c>
      <c r="D22" s="56">
        <f>WORKDAY((F22+14)-1,1,Feriados!$B$3:$B$626)</f>
        <v>42871</v>
      </c>
      <c r="E22" s="56">
        <f t="shared" si="23"/>
        <v>42839</v>
      </c>
      <c r="F22" s="56">
        <f t="shared" si="17"/>
        <v>42855</v>
      </c>
      <c r="G22" s="57">
        <f>VLOOKUP(F22,'Série IPCA'!$K$10:$L$997,2,FALSE)</f>
        <v>0.32224330425174275</v>
      </c>
      <c r="H22" s="58">
        <f>NETWORKDAYS(IF(C21="",D21,C21),D22,Feriados!$B$3:$B$626)-1</f>
        <v>21</v>
      </c>
      <c r="I22" s="58">
        <f>NETWORKDAYS(E22,D22,Feriados!$B$3:$B$626)-1</f>
        <v>21</v>
      </c>
      <c r="J22" s="62">
        <f t="shared" si="18"/>
        <v>1.0032224330425175</v>
      </c>
      <c r="K22" s="62">
        <f t="shared" si="6"/>
        <v>1.0015123566425381</v>
      </c>
      <c r="L22" s="62">
        <f t="shared" si="7"/>
        <v>1.0011757009600362</v>
      </c>
      <c r="M22" s="62">
        <f t="shared" si="8"/>
        <v>1.0032737397821989</v>
      </c>
      <c r="N22" s="62">
        <f t="shared" si="19"/>
        <v>1.0092140599273245</v>
      </c>
      <c r="O22" s="59">
        <f t="shared" si="9"/>
        <v>9214.06</v>
      </c>
      <c r="P22" s="59">
        <f t="shared" si="20"/>
        <v>20833.330000000002</v>
      </c>
      <c r="Q22" s="59">
        <f t="shared" si="21"/>
        <v>30047.39</v>
      </c>
      <c r="R22" s="60">
        <f t="shared" si="22"/>
        <v>979166.67</v>
      </c>
      <c r="S22" s="64">
        <f t="shared" si="10"/>
        <v>48</v>
      </c>
      <c r="T22" s="3">
        <f t="shared" si="11"/>
        <v>48</v>
      </c>
      <c r="U22" s="63" t="str">
        <f t="shared" si="12"/>
        <v>A</v>
      </c>
      <c r="V22" s="63" t="str">
        <f t="shared" si="1"/>
        <v>A</v>
      </c>
      <c r="W22" s="84" t="str">
        <f t="shared" si="2"/>
        <v>Mensal</v>
      </c>
      <c r="X22" s="3">
        <f t="shared" si="13"/>
        <v>1</v>
      </c>
      <c r="Y22" s="3">
        <f t="shared" si="14"/>
        <v>1</v>
      </c>
      <c r="Z22" s="3">
        <f t="shared" si="15"/>
        <v>1</v>
      </c>
      <c r="AA22" s="3">
        <f t="shared" si="16"/>
        <v>48</v>
      </c>
      <c r="AH22" s="126" t="s">
        <v>276</v>
      </c>
      <c r="AJ22" s="5">
        <v>14</v>
      </c>
      <c r="AK22" s="130">
        <v>2.3E-3</v>
      </c>
    </row>
    <row r="23" spans="1:37" s="3" customFormat="1" x14ac:dyDescent="0.2">
      <c r="A23" s="76" t="str">
        <f t="shared" si="3"/>
        <v>2021</v>
      </c>
      <c r="B23" s="76" t="str">
        <f t="shared" si="4"/>
        <v>06/2021</v>
      </c>
      <c r="C23" s="55">
        <f t="shared" si="5"/>
        <v>42900</v>
      </c>
      <c r="D23" s="56">
        <f>WORKDAY((F23+14)-1,1,Feriados!$B$3:$B$626)</f>
        <v>42900</v>
      </c>
      <c r="E23" s="56">
        <f t="shared" si="23"/>
        <v>42869</v>
      </c>
      <c r="F23" s="56">
        <f t="shared" si="17"/>
        <v>42886</v>
      </c>
      <c r="G23" s="57">
        <f>VLOOKUP(F23,'Série IPCA'!$K$10:$L$997,2,FALSE)</f>
        <v>0.32173580182827688</v>
      </c>
      <c r="H23" s="58">
        <f>NETWORKDAYS(IF(C22="",D22,C22),D23,Feriados!$B$3:$B$626)-1</f>
        <v>20</v>
      </c>
      <c r="I23" s="58">
        <f>NETWORKDAYS(E23,D23,Feriados!$B$3:$B$626)-1</f>
        <v>20</v>
      </c>
      <c r="J23" s="62">
        <f t="shared" si="18"/>
        <v>1.0032173580182828</v>
      </c>
      <c r="K23" s="62">
        <f t="shared" si="6"/>
        <v>1.0014402878224715</v>
      </c>
      <c r="L23" s="62">
        <f t="shared" si="7"/>
        <v>1.0011196838688423</v>
      </c>
      <c r="M23" s="62">
        <f t="shared" si="8"/>
        <v>1.0031176046646693</v>
      </c>
      <c r="N23" s="62">
        <f t="shared" si="19"/>
        <v>1.008922830726837</v>
      </c>
      <c r="O23" s="59">
        <f t="shared" si="9"/>
        <v>8736.94</v>
      </c>
      <c r="P23" s="59">
        <f t="shared" si="20"/>
        <v>20833.330000000002</v>
      </c>
      <c r="Q23" s="59">
        <f t="shared" si="21"/>
        <v>29570.270000000004</v>
      </c>
      <c r="R23" s="60">
        <f t="shared" si="22"/>
        <v>958333.34000000008</v>
      </c>
      <c r="S23" s="64">
        <f t="shared" si="10"/>
        <v>47</v>
      </c>
      <c r="T23" s="3">
        <f t="shared" si="11"/>
        <v>47</v>
      </c>
      <c r="U23" s="63" t="str">
        <f t="shared" si="12"/>
        <v>A</v>
      </c>
      <c r="V23" s="63" t="str">
        <f t="shared" si="1"/>
        <v>A</v>
      </c>
      <c r="W23" s="84" t="str">
        <f t="shared" si="2"/>
        <v>Mensal</v>
      </c>
      <c r="X23" s="3">
        <f t="shared" si="13"/>
        <v>1</v>
      </c>
      <c r="Y23" s="3">
        <f t="shared" si="14"/>
        <v>1</v>
      </c>
      <c r="Z23" s="3">
        <f t="shared" si="15"/>
        <v>1</v>
      </c>
      <c r="AA23" s="3">
        <f t="shared" si="16"/>
        <v>47</v>
      </c>
      <c r="AH23" s="126" t="s">
        <v>277</v>
      </c>
      <c r="AJ23" s="5">
        <v>15</v>
      </c>
      <c r="AK23" s="130">
        <v>2.3E-3</v>
      </c>
    </row>
    <row r="24" spans="1:37" s="3" customFormat="1" x14ac:dyDescent="0.2">
      <c r="A24" s="76" t="str">
        <f t="shared" si="3"/>
        <v>2021</v>
      </c>
      <c r="B24" s="76" t="str">
        <f t="shared" si="4"/>
        <v>07/2021</v>
      </c>
      <c r="C24" s="55">
        <f t="shared" si="5"/>
        <v>42930</v>
      </c>
      <c r="D24" s="56">
        <f>WORKDAY((F24+14)-1,1,Feriados!$B$3:$B$626)</f>
        <v>42930</v>
      </c>
      <c r="E24" s="56">
        <f t="shared" si="23"/>
        <v>42900</v>
      </c>
      <c r="F24" s="56">
        <f t="shared" si="17"/>
        <v>42916</v>
      </c>
      <c r="G24" s="57">
        <f>VLOOKUP(F24,'Série IPCA'!$K$10:$L$997,2,FALSE)</f>
        <v>0.32411424827692958</v>
      </c>
      <c r="H24" s="58">
        <f>NETWORKDAYS(IF(C23="",D23,C23),D24,Feriados!$B$3:$B$626)-1</f>
        <v>22</v>
      </c>
      <c r="I24" s="58">
        <f>NETWORKDAYS(E24,D24,Feriados!$B$3:$B$626)-1</f>
        <v>22</v>
      </c>
      <c r="J24" s="62">
        <f t="shared" si="18"/>
        <v>1.0032411424827692</v>
      </c>
      <c r="K24" s="62">
        <f t="shared" si="6"/>
        <v>1.0015844306490498</v>
      </c>
      <c r="L24" s="62">
        <f t="shared" si="7"/>
        <v>1.0012317211856352</v>
      </c>
      <c r="M24" s="62">
        <f t="shared" si="8"/>
        <v>1.0034298992021382</v>
      </c>
      <c r="N24" s="62">
        <f t="shared" si="19"/>
        <v>1.0095190929020055</v>
      </c>
      <c r="O24" s="59">
        <f t="shared" si="9"/>
        <v>9122.4599999999991</v>
      </c>
      <c r="P24" s="59">
        <f t="shared" si="20"/>
        <v>20833.330000000002</v>
      </c>
      <c r="Q24" s="59">
        <f t="shared" si="21"/>
        <v>29955.79</v>
      </c>
      <c r="R24" s="60">
        <f t="shared" si="22"/>
        <v>937500.01000000013</v>
      </c>
      <c r="S24" s="64">
        <f t="shared" si="10"/>
        <v>46</v>
      </c>
      <c r="T24" s="3">
        <f t="shared" si="11"/>
        <v>46</v>
      </c>
      <c r="U24" s="63" t="str">
        <f t="shared" si="12"/>
        <v>A</v>
      </c>
      <c r="V24" s="63" t="str">
        <f t="shared" si="1"/>
        <v>A</v>
      </c>
      <c r="W24" s="84" t="str">
        <f t="shared" si="2"/>
        <v>Mensal</v>
      </c>
      <c r="X24" s="3">
        <f t="shared" si="13"/>
        <v>1</v>
      </c>
      <c r="Y24" s="3">
        <f t="shared" si="14"/>
        <v>1</v>
      </c>
      <c r="Z24" s="3">
        <f t="shared" si="15"/>
        <v>1</v>
      </c>
      <c r="AA24" s="3">
        <f t="shared" si="16"/>
        <v>46</v>
      </c>
      <c r="AH24" s="126" t="s">
        <v>278</v>
      </c>
      <c r="AJ24" s="5">
        <v>16</v>
      </c>
      <c r="AK24" s="130">
        <v>2E-3</v>
      </c>
    </row>
    <row r="25" spans="1:37" s="3" customFormat="1" x14ac:dyDescent="0.2">
      <c r="A25" s="76" t="str">
        <f t="shared" si="3"/>
        <v>2021</v>
      </c>
      <c r="B25" s="76" t="str">
        <f t="shared" si="4"/>
        <v>08/2021</v>
      </c>
      <c r="C25" s="55">
        <f t="shared" si="5"/>
        <v>42962</v>
      </c>
      <c r="D25" s="56">
        <f>WORKDAY((F25+14)-1,1,Feriados!$B$3:$B$626)</f>
        <v>42962</v>
      </c>
      <c r="E25" s="56">
        <f t="shared" si="23"/>
        <v>42930</v>
      </c>
      <c r="F25" s="56">
        <f t="shared" si="17"/>
        <v>42947</v>
      </c>
      <c r="G25" s="57">
        <f>VLOOKUP(F25,'Série IPCA'!$K$10:$L$997,2,FALSE)</f>
        <v>0.32861315939877245</v>
      </c>
      <c r="H25" s="58">
        <f>NETWORKDAYS(IF(C24="",D24,C24),D25,Feriados!$B$3:$B$626)-1</f>
        <v>22</v>
      </c>
      <c r="I25" s="58">
        <f>NETWORKDAYS(E25,D25,Feriados!$B$3:$B$626)-1</f>
        <v>22</v>
      </c>
      <c r="J25" s="62">
        <f t="shared" si="18"/>
        <v>1.0032861315939878</v>
      </c>
      <c r="K25" s="62">
        <f t="shared" si="6"/>
        <v>1.0015844306490498</v>
      </c>
      <c r="L25" s="62">
        <f t="shared" si="7"/>
        <v>1.0012317211856352</v>
      </c>
      <c r="M25" s="62">
        <f t="shared" si="8"/>
        <v>1.0034298992021382</v>
      </c>
      <c r="N25" s="62">
        <f t="shared" si="19"/>
        <v>1.0095643635401648</v>
      </c>
      <c r="O25" s="59">
        <f t="shared" si="9"/>
        <v>8966.59</v>
      </c>
      <c r="P25" s="59">
        <f t="shared" si="20"/>
        <v>20833.330000000002</v>
      </c>
      <c r="Q25" s="59">
        <f t="shared" si="21"/>
        <v>29799.920000000002</v>
      </c>
      <c r="R25" s="60">
        <f t="shared" si="22"/>
        <v>916666.68000000017</v>
      </c>
      <c r="S25" s="64">
        <f t="shared" si="10"/>
        <v>45</v>
      </c>
      <c r="T25" s="3">
        <f t="shared" si="11"/>
        <v>45</v>
      </c>
      <c r="U25" s="63" t="str">
        <f t="shared" si="12"/>
        <v>A</v>
      </c>
      <c r="V25" s="63" t="str">
        <f t="shared" si="1"/>
        <v>A</v>
      </c>
      <c r="W25" s="84" t="str">
        <f t="shared" si="2"/>
        <v>Mensal</v>
      </c>
      <c r="X25" s="3">
        <f t="shared" si="13"/>
        <v>1</v>
      </c>
      <c r="Y25" s="3">
        <f t="shared" si="14"/>
        <v>1</v>
      </c>
      <c r="Z25" s="3">
        <f t="shared" si="15"/>
        <v>1</v>
      </c>
      <c r="AA25" s="3">
        <f t="shared" si="16"/>
        <v>45</v>
      </c>
      <c r="AH25" s="126" t="s">
        <v>279</v>
      </c>
      <c r="AJ25" s="5">
        <v>17</v>
      </c>
      <c r="AK25" s="130">
        <v>2E-3</v>
      </c>
    </row>
    <row r="26" spans="1:37" s="3" customFormat="1" x14ac:dyDescent="0.2">
      <c r="A26" s="76" t="str">
        <f t="shared" si="3"/>
        <v>2021</v>
      </c>
      <c r="B26" s="76" t="str">
        <f t="shared" si="4"/>
        <v>09/2021</v>
      </c>
      <c r="C26" s="55">
        <f t="shared" si="5"/>
        <v>42992</v>
      </c>
      <c r="D26" s="56">
        <f>WORKDAY((F26+14)-1,1,Feriados!$B$3:$B$626)</f>
        <v>42992</v>
      </c>
      <c r="E26" s="56">
        <f t="shared" si="23"/>
        <v>42961</v>
      </c>
      <c r="F26" s="56">
        <f t="shared" si="17"/>
        <v>42978</v>
      </c>
      <c r="G26" s="57">
        <f>VLOOKUP(F26,'Série IPCA'!$K$10:$L$997,2,FALSE)</f>
        <v>0.3325138734278883</v>
      </c>
      <c r="H26" s="58">
        <f>NETWORKDAYS(IF(C25="",D25,C25),D26,Feriados!$B$3:$B$626)-1</f>
        <v>21</v>
      </c>
      <c r="I26" s="58">
        <f>NETWORKDAYS(E26,D26,Feriados!$B$3:$B$626)-1</f>
        <v>21</v>
      </c>
      <c r="J26" s="62">
        <f t="shared" si="18"/>
        <v>1.003325138734279</v>
      </c>
      <c r="K26" s="62">
        <f t="shared" si="6"/>
        <v>1.0015123566425381</v>
      </c>
      <c r="L26" s="62">
        <f t="shared" si="7"/>
        <v>1.0011757009600362</v>
      </c>
      <c r="M26" s="62">
        <f t="shared" si="8"/>
        <v>1.0032737397821989</v>
      </c>
      <c r="N26" s="62">
        <f t="shared" si="19"/>
        <v>1.0093173790166374</v>
      </c>
      <c r="O26" s="59">
        <f t="shared" si="9"/>
        <v>8540.93</v>
      </c>
      <c r="P26" s="59">
        <f t="shared" si="20"/>
        <v>20833.330000000002</v>
      </c>
      <c r="Q26" s="59">
        <f t="shared" ref="Q26:Q74" si="24">IF(U26="A",(O26+P26),IF(V26="C",0,(O26+P26)))</f>
        <v>29374.260000000002</v>
      </c>
      <c r="R26" s="60">
        <f t="shared" si="22"/>
        <v>895833.35000000021</v>
      </c>
      <c r="S26" s="64">
        <f t="shared" si="10"/>
        <v>44</v>
      </c>
      <c r="T26" s="3">
        <f t="shared" si="11"/>
        <v>44</v>
      </c>
      <c r="U26" s="63" t="str">
        <f t="shared" si="12"/>
        <v>A</v>
      </c>
      <c r="V26" s="63" t="str">
        <f t="shared" si="1"/>
        <v>A</v>
      </c>
      <c r="W26" s="84" t="str">
        <f t="shared" si="2"/>
        <v>Mensal</v>
      </c>
      <c r="X26" s="3">
        <f t="shared" si="13"/>
        <v>1</v>
      </c>
      <c r="Y26" s="3">
        <f t="shared" si="14"/>
        <v>1</v>
      </c>
      <c r="Z26" s="3">
        <f t="shared" si="15"/>
        <v>1</v>
      </c>
      <c r="AA26" s="3">
        <f t="shared" si="16"/>
        <v>44</v>
      </c>
      <c r="AH26" s="126" t="s">
        <v>280</v>
      </c>
      <c r="AJ26" s="5">
        <v>18</v>
      </c>
      <c r="AK26" s="130">
        <v>2E-3</v>
      </c>
    </row>
    <row r="27" spans="1:37" s="3" customFormat="1" x14ac:dyDescent="0.2">
      <c r="A27" s="76" t="str">
        <f t="shared" si="3"/>
        <v>2021</v>
      </c>
      <c r="B27" s="76" t="str">
        <f t="shared" si="4"/>
        <v>10/2021</v>
      </c>
      <c r="C27" s="55">
        <f t="shared" si="5"/>
        <v>43022</v>
      </c>
      <c r="D27" s="56">
        <f>WORKDAY((F27+14)-1,1,Feriados!$B$3:$B$626)</f>
        <v>43022</v>
      </c>
      <c r="E27" s="56">
        <f t="shared" si="23"/>
        <v>42992</v>
      </c>
      <c r="F27" s="56">
        <f t="shared" si="17"/>
        <v>43008</v>
      </c>
      <c r="G27" s="57">
        <f>VLOOKUP(F27,'Série IPCA'!$K$10:$L$997,2,FALSE)</f>
        <v>0.33485211507714308</v>
      </c>
      <c r="H27" s="58">
        <f>NETWORKDAYS(IF(C26="",D26,C26),D27,Feriados!$B$3:$B$626)-1</f>
        <v>21</v>
      </c>
      <c r="I27" s="58">
        <f>NETWORKDAYS(E27,D27,Feriados!$B$3:$B$626)-1</f>
        <v>21</v>
      </c>
      <c r="J27" s="62">
        <f t="shared" si="18"/>
        <v>1.0033485211507713</v>
      </c>
      <c r="K27" s="62">
        <f t="shared" si="6"/>
        <v>1.0015123566425381</v>
      </c>
      <c r="L27" s="62">
        <f t="shared" si="7"/>
        <v>1.0011757009600362</v>
      </c>
      <c r="M27" s="62">
        <f t="shared" si="8"/>
        <v>1.0032737397821989</v>
      </c>
      <c r="N27" s="62">
        <f t="shared" si="19"/>
        <v>1.0093409010818366</v>
      </c>
      <c r="O27" s="59">
        <f t="shared" si="9"/>
        <v>8367.89</v>
      </c>
      <c r="P27" s="59">
        <f t="shared" si="20"/>
        <v>20833.330000000002</v>
      </c>
      <c r="Q27" s="59">
        <f t="shared" si="24"/>
        <v>29201.22</v>
      </c>
      <c r="R27" s="60">
        <f t="shared" si="22"/>
        <v>875000.02000000025</v>
      </c>
      <c r="S27" s="64">
        <f t="shared" si="10"/>
        <v>43</v>
      </c>
      <c r="T27" s="3">
        <f t="shared" si="11"/>
        <v>43</v>
      </c>
      <c r="U27" s="63" t="str">
        <f t="shared" si="12"/>
        <v>A</v>
      </c>
      <c r="V27" s="63" t="str">
        <f t="shared" si="1"/>
        <v>A</v>
      </c>
      <c r="W27" s="84" t="str">
        <f t="shared" si="2"/>
        <v>Mensal</v>
      </c>
      <c r="X27" s="3">
        <f t="shared" si="13"/>
        <v>1</v>
      </c>
      <c r="Y27" s="3">
        <f t="shared" si="14"/>
        <v>1</v>
      </c>
      <c r="Z27" s="3">
        <f t="shared" si="15"/>
        <v>1</v>
      </c>
      <c r="AA27" s="3">
        <f t="shared" si="16"/>
        <v>43</v>
      </c>
      <c r="AH27" s="127" t="s">
        <v>281</v>
      </c>
      <c r="AJ27" s="5">
        <v>19</v>
      </c>
      <c r="AK27" s="130">
        <v>1.8E-3</v>
      </c>
    </row>
    <row r="28" spans="1:37" s="3" customFormat="1" x14ac:dyDescent="0.2">
      <c r="A28" s="76" t="str">
        <f t="shared" si="3"/>
        <v>2021</v>
      </c>
      <c r="B28" s="76" t="str">
        <f t="shared" si="4"/>
        <v>11/2021</v>
      </c>
      <c r="C28" s="55">
        <f t="shared" si="5"/>
        <v>43054</v>
      </c>
      <c r="D28" s="56">
        <f>WORKDAY((F28+14)-1,1,Feriados!$B$3:$B$626)</f>
        <v>43054</v>
      </c>
      <c r="E28" s="56">
        <f t="shared" si="23"/>
        <v>43022</v>
      </c>
      <c r="F28" s="56">
        <f t="shared" si="17"/>
        <v>43039</v>
      </c>
      <c r="G28" s="57">
        <f>VLOOKUP(F28,'Série IPCA'!$K$10:$L$997,2,FALSE)</f>
        <v>0.33659038399135771</v>
      </c>
      <c r="H28" s="58">
        <f>NETWORKDAYS(IF(C27="",D27,C27),D28,Feriados!$B$3:$B$626)-1</f>
        <v>20</v>
      </c>
      <c r="I28" s="58">
        <f>NETWORKDAYS(E28,D28,Feriados!$B$3:$B$626)-1</f>
        <v>20</v>
      </c>
      <c r="J28" s="62">
        <f t="shared" si="18"/>
        <v>1.0033659038399136</v>
      </c>
      <c r="K28" s="62">
        <f t="shared" si="6"/>
        <v>1.0014402878224715</v>
      </c>
      <c r="L28" s="62">
        <f t="shared" si="7"/>
        <v>1.0011196838688423</v>
      </c>
      <c r="M28" s="62">
        <f t="shared" si="8"/>
        <v>1.0031176046646693</v>
      </c>
      <c r="N28" s="62">
        <f t="shared" si="19"/>
        <v>1.0090722213545558</v>
      </c>
      <c r="O28" s="59">
        <f t="shared" si="9"/>
        <v>7938.19</v>
      </c>
      <c r="P28" s="59">
        <f t="shared" si="20"/>
        <v>20833.330000000002</v>
      </c>
      <c r="Q28" s="59">
        <f t="shared" si="24"/>
        <v>28771.52</v>
      </c>
      <c r="R28" s="60">
        <f t="shared" si="22"/>
        <v>854166.69000000029</v>
      </c>
      <c r="S28" s="64">
        <f t="shared" si="10"/>
        <v>42</v>
      </c>
      <c r="T28" s="3">
        <f t="shared" si="11"/>
        <v>42</v>
      </c>
      <c r="U28" s="63" t="str">
        <f t="shared" si="12"/>
        <v>A</v>
      </c>
      <c r="V28" s="63" t="str">
        <f t="shared" si="1"/>
        <v>A</v>
      </c>
      <c r="W28" s="84" t="str">
        <f t="shared" si="2"/>
        <v>Mensal</v>
      </c>
      <c r="X28" s="3">
        <f t="shared" si="13"/>
        <v>1</v>
      </c>
      <c r="Y28" s="3">
        <f t="shared" si="14"/>
        <v>1</v>
      </c>
      <c r="Z28" s="3">
        <f t="shared" si="15"/>
        <v>1</v>
      </c>
      <c r="AA28" s="3">
        <f t="shared" si="16"/>
        <v>42</v>
      </c>
      <c r="AH28" s="127" t="s">
        <v>282</v>
      </c>
      <c r="AJ28" s="5">
        <v>20</v>
      </c>
      <c r="AK28" s="130">
        <v>1.8E-3</v>
      </c>
    </row>
    <row r="29" spans="1:37" s="3" customFormat="1" x14ac:dyDescent="0.2">
      <c r="A29" s="76" t="str">
        <f t="shared" si="3"/>
        <v>2021</v>
      </c>
      <c r="B29" s="76" t="str">
        <f t="shared" si="4"/>
        <v>12/2021</v>
      </c>
      <c r="C29" s="55">
        <f t="shared" si="5"/>
        <v>43083</v>
      </c>
      <c r="D29" s="56">
        <f>WORKDAY((F29+14)-1,1,Feriados!$B$3:$B$626)</f>
        <v>43083</v>
      </c>
      <c r="E29" s="56">
        <f t="shared" si="23"/>
        <v>43053</v>
      </c>
      <c r="F29" s="56">
        <f t="shared" si="17"/>
        <v>43069</v>
      </c>
      <c r="G29" s="57">
        <f>VLOOKUP(F29,'Série IPCA'!$K$10:$L$997,2,FALSE)</f>
        <v>0.33705689136990569</v>
      </c>
      <c r="H29" s="58">
        <f>NETWORKDAYS(IF(C28="",D28,C28),D29,Feriados!$B$3:$B$626)-1</f>
        <v>21</v>
      </c>
      <c r="I29" s="58">
        <f>NETWORKDAYS(E29,D29,Feriados!$B$3:$B$626)-1</f>
        <v>21</v>
      </c>
      <c r="J29" s="62">
        <f t="shared" si="18"/>
        <v>1.0033705689136991</v>
      </c>
      <c r="K29" s="62">
        <f t="shared" si="6"/>
        <v>1.0015123566425381</v>
      </c>
      <c r="L29" s="62">
        <f t="shared" si="7"/>
        <v>1.0011757009600362</v>
      </c>
      <c r="M29" s="62">
        <f t="shared" si="8"/>
        <v>1.0032737397821989</v>
      </c>
      <c r="N29" s="62">
        <f t="shared" si="19"/>
        <v>1.0093630805224112</v>
      </c>
      <c r="O29" s="59">
        <f t="shared" si="9"/>
        <v>7997.63</v>
      </c>
      <c r="P29" s="59">
        <f t="shared" si="20"/>
        <v>20833.330000000002</v>
      </c>
      <c r="Q29" s="59">
        <f t="shared" si="24"/>
        <v>28830.960000000003</v>
      </c>
      <c r="R29" s="60">
        <f t="shared" si="22"/>
        <v>833333.36000000034</v>
      </c>
      <c r="S29" s="64">
        <f t="shared" si="10"/>
        <v>41</v>
      </c>
      <c r="T29" s="3">
        <f t="shared" si="11"/>
        <v>41</v>
      </c>
      <c r="U29" s="63" t="str">
        <f t="shared" si="12"/>
        <v>A</v>
      </c>
      <c r="V29" s="63" t="str">
        <f t="shared" si="1"/>
        <v>A</v>
      </c>
      <c r="W29" s="84" t="str">
        <f t="shared" si="2"/>
        <v>Mensal</v>
      </c>
      <c r="X29" s="3">
        <f t="shared" si="13"/>
        <v>1</v>
      </c>
      <c r="Y29" s="3">
        <f t="shared" si="14"/>
        <v>1</v>
      </c>
      <c r="Z29" s="3">
        <f t="shared" si="15"/>
        <v>1</v>
      </c>
      <c r="AA29" s="3">
        <f t="shared" si="16"/>
        <v>41</v>
      </c>
      <c r="AH29" s="128" t="s">
        <v>283</v>
      </c>
      <c r="AJ29" s="5">
        <v>21</v>
      </c>
      <c r="AK29" s="130">
        <v>1.8E-3</v>
      </c>
    </row>
    <row r="30" spans="1:37" s="3" customFormat="1" x14ac:dyDescent="0.2">
      <c r="A30" s="76" t="str">
        <f t="shared" si="3"/>
        <v>2022</v>
      </c>
      <c r="B30" s="76" t="str">
        <f t="shared" si="4"/>
        <v>01/2022</v>
      </c>
      <c r="C30" s="55">
        <f t="shared" si="5"/>
        <v>43116</v>
      </c>
      <c r="D30" s="56">
        <f>WORKDAY((F30+14)-1,1,Feriados!$B$3:$B$626)</f>
        <v>43116</v>
      </c>
      <c r="E30" s="56">
        <f t="shared" si="23"/>
        <v>43083</v>
      </c>
      <c r="F30" s="56">
        <f t="shared" si="17"/>
        <v>43100</v>
      </c>
      <c r="G30" s="57">
        <f>VLOOKUP(F30,'Série IPCA'!$K$10:$L$997,2,FALSE)</f>
        <v>0.33498593897827172</v>
      </c>
      <c r="H30" s="58">
        <f>NETWORKDAYS(IF(C29="",D29,C29),D30,Feriados!$B$3:$B$626)-1</f>
        <v>23</v>
      </c>
      <c r="I30" s="58">
        <f>NETWORKDAYS(E30,D30,Feriados!$B$3:$B$626)-1</f>
        <v>23</v>
      </c>
      <c r="J30" s="62">
        <f t="shared" si="18"/>
        <v>1.0033498593897827</v>
      </c>
      <c r="K30" s="62">
        <f t="shared" si="6"/>
        <v>1.0016565098423793</v>
      </c>
      <c r="L30" s="62">
        <f t="shared" si="7"/>
        <v>1.0012877445458146</v>
      </c>
      <c r="M30" s="62">
        <f t="shared" si="8"/>
        <v>1.0035860829282697</v>
      </c>
      <c r="N30" s="62">
        <f t="shared" si="19"/>
        <v>1.0099148141100032</v>
      </c>
      <c r="O30" s="59">
        <f t="shared" si="9"/>
        <v>8262.35</v>
      </c>
      <c r="P30" s="59">
        <f t="shared" si="20"/>
        <v>20833.330000000002</v>
      </c>
      <c r="Q30" s="59">
        <f t="shared" si="24"/>
        <v>29095.68</v>
      </c>
      <c r="R30" s="60">
        <f t="shared" si="22"/>
        <v>812500.03000000038</v>
      </c>
      <c r="S30" s="64">
        <f t="shared" si="10"/>
        <v>40</v>
      </c>
      <c r="T30" s="3">
        <f t="shared" si="11"/>
        <v>40</v>
      </c>
      <c r="U30" s="63" t="str">
        <f t="shared" si="12"/>
        <v>A</v>
      </c>
      <c r="V30" s="63" t="str">
        <f t="shared" si="1"/>
        <v>A</v>
      </c>
      <c r="W30" s="84" t="str">
        <f t="shared" si="2"/>
        <v>Mensal</v>
      </c>
      <c r="X30" s="3">
        <f t="shared" si="13"/>
        <v>1</v>
      </c>
      <c r="Y30" s="3">
        <f t="shared" si="14"/>
        <v>1</v>
      </c>
      <c r="Z30" s="3">
        <f t="shared" si="15"/>
        <v>1</v>
      </c>
      <c r="AA30" s="3">
        <f t="shared" si="16"/>
        <v>40</v>
      </c>
      <c r="AJ30" s="5">
        <v>22</v>
      </c>
      <c r="AK30" s="130">
        <v>1.6999999999999999E-3</v>
      </c>
    </row>
    <row r="31" spans="1:37" s="3" customFormat="1" x14ac:dyDescent="0.2">
      <c r="A31" s="76" t="str">
        <f t="shared" si="3"/>
        <v>2022</v>
      </c>
      <c r="B31" s="76" t="str">
        <f t="shared" si="4"/>
        <v>02/2022</v>
      </c>
      <c r="C31" s="55">
        <f t="shared" si="5"/>
        <v>43145</v>
      </c>
      <c r="D31" s="56">
        <f>WORKDAY((F31+14)-1,1,Feriados!$B$3:$B$626)</f>
        <v>43145</v>
      </c>
      <c r="E31" s="56">
        <f t="shared" si="23"/>
        <v>43114</v>
      </c>
      <c r="F31" s="56">
        <f t="shared" si="17"/>
        <v>43131</v>
      </c>
      <c r="G31" s="57">
        <f>VLOOKUP(F31,'Série IPCA'!$K$10:$L$997,2,FALSE)</f>
        <v>0.33092359944240785</v>
      </c>
      <c r="H31" s="58">
        <f>NETWORKDAYS(IF(C30="",D30,C30),D31,Feriados!$B$3:$B$626)-1</f>
        <v>21</v>
      </c>
      <c r="I31" s="58">
        <f>NETWORKDAYS(E31,D31,Feriados!$B$3:$B$626)-1</f>
        <v>21</v>
      </c>
      <c r="J31" s="62">
        <f t="shared" si="18"/>
        <v>1.003309235994424</v>
      </c>
      <c r="K31" s="62">
        <f t="shared" si="6"/>
        <v>1.0015123566425381</v>
      </c>
      <c r="L31" s="62">
        <f t="shared" si="7"/>
        <v>1.0011757009600362</v>
      </c>
      <c r="M31" s="62">
        <f t="shared" si="8"/>
        <v>1.0032737397821989</v>
      </c>
      <c r="N31" s="62">
        <f t="shared" si="19"/>
        <v>1.0093013812995568</v>
      </c>
      <c r="O31" s="59">
        <f t="shared" si="9"/>
        <v>7557.37</v>
      </c>
      <c r="P31" s="59">
        <f t="shared" si="20"/>
        <v>20833.330000000002</v>
      </c>
      <c r="Q31" s="59">
        <f t="shared" si="24"/>
        <v>28390.7</v>
      </c>
      <c r="R31" s="60">
        <f t="shared" si="22"/>
        <v>791666.70000000042</v>
      </c>
      <c r="S31" s="64">
        <f t="shared" si="10"/>
        <v>39</v>
      </c>
      <c r="T31" s="3">
        <f t="shared" si="11"/>
        <v>39</v>
      </c>
      <c r="U31" s="63" t="str">
        <f t="shared" si="12"/>
        <v>A</v>
      </c>
      <c r="V31" s="63" t="str">
        <f t="shared" si="1"/>
        <v>A</v>
      </c>
      <c r="W31" s="84" t="str">
        <f t="shared" si="2"/>
        <v>Mensal</v>
      </c>
      <c r="X31" s="3">
        <f t="shared" si="13"/>
        <v>1</v>
      </c>
      <c r="Y31" s="3">
        <f t="shared" si="14"/>
        <v>1</v>
      </c>
      <c r="Z31" s="3">
        <f t="shared" si="15"/>
        <v>1</v>
      </c>
      <c r="AA31" s="3">
        <f t="shared" si="16"/>
        <v>39</v>
      </c>
      <c r="AJ31" s="5">
        <v>23</v>
      </c>
      <c r="AK31" s="130">
        <v>1.6999999999999999E-3</v>
      </c>
    </row>
    <row r="32" spans="1:37" s="3" customFormat="1" x14ac:dyDescent="0.2">
      <c r="A32" s="76" t="str">
        <f t="shared" si="3"/>
        <v>2022</v>
      </c>
      <c r="B32" s="76" t="str">
        <f t="shared" si="4"/>
        <v>03/2022</v>
      </c>
      <c r="C32" s="55">
        <f t="shared" si="5"/>
        <v>43173</v>
      </c>
      <c r="D32" s="56">
        <f>WORKDAY((F32+14)-1,1,Feriados!$B$3:$B$626)</f>
        <v>43173</v>
      </c>
      <c r="E32" s="56">
        <f t="shared" si="23"/>
        <v>43145</v>
      </c>
      <c r="F32" s="56">
        <f t="shared" si="17"/>
        <v>43159</v>
      </c>
      <c r="G32" s="57">
        <f>VLOOKUP(F32,'Série IPCA'!$K$10:$L$997,2,FALSE)</f>
        <v>0.32739957874099529</v>
      </c>
      <c r="H32" s="58">
        <f>NETWORKDAYS(IF(C31="",D31,C31),D32,Feriados!$B$3:$B$626)-1</f>
        <v>18</v>
      </c>
      <c r="I32" s="58">
        <f>NETWORKDAYS(E32,D32,Feriados!$B$3:$B$626)-1</f>
        <v>18</v>
      </c>
      <c r="J32" s="62">
        <f t="shared" si="18"/>
        <v>1.0032739957874099</v>
      </c>
      <c r="K32" s="62">
        <f t="shared" si="6"/>
        <v>1.0012961657401798</v>
      </c>
      <c r="L32" s="62">
        <f t="shared" si="7"/>
        <v>1.0010076590889676</v>
      </c>
      <c r="M32" s="62">
        <f t="shared" si="8"/>
        <v>1.0028054073217112</v>
      </c>
      <c r="N32" s="62">
        <f t="shared" si="19"/>
        <v>1.0084077539156848</v>
      </c>
      <c r="O32" s="59">
        <f t="shared" si="9"/>
        <v>6656.14</v>
      </c>
      <c r="P32" s="59">
        <f t="shared" si="20"/>
        <v>20833.330000000002</v>
      </c>
      <c r="Q32" s="59">
        <f t="shared" si="24"/>
        <v>27489.47</v>
      </c>
      <c r="R32" s="60">
        <f t="shared" si="22"/>
        <v>770833.37000000046</v>
      </c>
      <c r="S32" s="64">
        <f t="shared" si="10"/>
        <v>38</v>
      </c>
      <c r="T32" s="3">
        <f t="shared" si="11"/>
        <v>38</v>
      </c>
      <c r="U32" s="63" t="str">
        <f t="shared" si="12"/>
        <v>A</v>
      </c>
      <c r="V32" s="63" t="str">
        <f t="shared" si="1"/>
        <v>A</v>
      </c>
      <c r="W32" s="84" t="str">
        <f t="shared" si="2"/>
        <v>Mensal</v>
      </c>
      <c r="X32" s="3">
        <f t="shared" si="13"/>
        <v>1</v>
      </c>
      <c r="Y32" s="3">
        <f t="shared" si="14"/>
        <v>1</v>
      </c>
      <c r="Z32" s="3">
        <f t="shared" si="15"/>
        <v>1</v>
      </c>
      <c r="AA32" s="3">
        <f t="shared" si="16"/>
        <v>38</v>
      </c>
      <c r="AJ32" s="5">
        <v>24</v>
      </c>
      <c r="AK32" s="130">
        <v>1.6999999999999999E-3</v>
      </c>
    </row>
    <row r="33" spans="1:37" s="3" customFormat="1" x14ac:dyDescent="0.2">
      <c r="A33" s="76" t="str">
        <f t="shared" si="3"/>
        <v>2022</v>
      </c>
      <c r="B33" s="76" t="str">
        <f t="shared" si="4"/>
        <v>04/2022</v>
      </c>
      <c r="C33" s="55">
        <f t="shared" si="5"/>
        <v>43207</v>
      </c>
      <c r="D33" s="56">
        <f>WORKDAY((F33+14)-1,1,Feriados!$B$3:$B$626)</f>
        <v>43207</v>
      </c>
      <c r="E33" s="56">
        <f t="shared" si="23"/>
        <v>43173</v>
      </c>
      <c r="F33" s="56">
        <f t="shared" si="17"/>
        <v>43190</v>
      </c>
      <c r="G33" s="57">
        <f>VLOOKUP(F33,'Série IPCA'!$K$10:$L$997,2,FALSE)</f>
        <v>0.32897625181544171</v>
      </c>
      <c r="H33" s="58">
        <f>NETWORKDAYS(IF(C32="",D32,C32),D33,Feriados!$B$3:$B$626)-1</f>
        <v>23</v>
      </c>
      <c r="I33" s="58">
        <f>NETWORKDAYS(E33,D33,Feriados!$B$3:$B$626)-1</f>
        <v>23</v>
      </c>
      <c r="J33" s="62">
        <f t="shared" si="18"/>
        <v>1.0032897625181545</v>
      </c>
      <c r="K33" s="62">
        <f t="shared" si="6"/>
        <v>1.0016565098423793</v>
      </c>
      <c r="L33" s="62">
        <f t="shared" si="7"/>
        <v>1.0012877445458146</v>
      </c>
      <c r="M33" s="62">
        <f t="shared" si="8"/>
        <v>1.0035860829282697</v>
      </c>
      <c r="N33" s="62">
        <f t="shared" si="19"/>
        <v>1.0098543240223525</v>
      </c>
      <c r="O33" s="59">
        <f t="shared" si="9"/>
        <v>7596.04</v>
      </c>
      <c r="P33" s="59">
        <f t="shared" si="20"/>
        <v>20833.330000000002</v>
      </c>
      <c r="Q33" s="59">
        <f t="shared" si="24"/>
        <v>28429.370000000003</v>
      </c>
      <c r="R33" s="60">
        <f t="shared" si="22"/>
        <v>750000.0400000005</v>
      </c>
      <c r="S33" s="64">
        <f t="shared" si="10"/>
        <v>37</v>
      </c>
      <c r="T33" s="3">
        <f t="shared" si="11"/>
        <v>37</v>
      </c>
      <c r="U33" s="63" t="str">
        <f>IF(T32=0,"A",IF(U32="A","A","C"))</f>
        <v>A</v>
      </c>
      <c r="V33" s="63" t="str">
        <f t="shared" si="1"/>
        <v>A</v>
      </c>
      <c r="W33" s="84" t="str">
        <f t="shared" si="2"/>
        <v>Mensal</v>
      </c>
      <c r="X33" s="3">
        <f t="shared" si="13"/>
        <v>1</v>
      </c>
      <c r="Y33" s="3">
        <f t="shared" si="14"/>
        <v>1</v>
      </c>
      <c r="Z33" s="3">
        <f t="shared" si="15"/>
        <v>1</v>
      </c>
      <c r="AA33" s="3">
        <f t="shared" si="16"/>
        <v>37</v>
      </c>
      <c r="AJ33" s="5">
        <v>25</v>
      </c>
      <c r="AK33" s="130">
        <v>1.6000000000000001E-3</v>
      </c>
    </row>
    <row r="34" spans="1:37" s="3" customFormat="1" x14ac:dyDescent="0.2">
      <c r="A34" s="76" t="str">
        <f t="shared" si="3"/>
        <v>2022</v>
      </c>
      <c r="B34" s="76" t="str">
        <f t="shared" si="4"/>
        <v>05/2022</v>
      </c>
      <c r="C34" s="55">
        <f t="shared" si="5"/>
        <v>43235</v>
      </c>
      <c r="D34" s="56">
        <f>WORKDAY((F34+14)-1,1,Feriados!$B$3:$B$626)</f>
        <v>43235</v>
      </c>
      <c r="E34" s="56">
        <f t="shared" si="23"/>
        <v>43204</v>
      </c>
      <c r="F34" s="56">
        <f t="shared" si="17"/>
        <v>43220</v>
      </c>
      <c r="G34" s="57">
        <f>VLOOKUP(F34,'Série IPCA'!$K$10:$L$997,2,FALSE)</f>
        <v>0.33000042888326109</v>
      </c>
      <c r="H34" s="58">
        <f>NETWORKDAYS(IF(C33="",D33,C33),D34,Feriados!$B$3:$B$626)-1</f>
        <v>19</v>
      </c>
      <c r="I34" s="58">
        <f>NETWORKDAYS(E34,D34,Feriados!$B$3:$B$626)-1</f>
        <v>19</v>
      </c>
      <c r="J34" s="62">
        <f t="shared" si="18"/>
        <v>1.0033000042888327</v>
      </c>
      <c r="K34" s="62">
        <f t="shared" si="6"/>
        <v>1.0013682241884765</v>
      </c>
      <c r="L34" s="62">
        <f t="shared" si="7"/>
        <v>1.0010636699118778</v>
      </c>
      <c r="M34" s="62">
        <f t="shared" si="8"/>
        <v>1.0029614938457672</v>
      </c>
      <c r="N34" s="62">
        <f t="shared" si="19"/>
        <v>1.0087198807102071</v>
      </c>
      <c r="O34" s="59">
        <f t="shared" si="9"/>
        <v>6539.91</v>
      </c>
      <c r="P34" s="59">
        <f t="shared" si="20"/>
        <v>20833.330000000002</v>
      </c>
      <c r="Q34" s="59">
        <f t="shared" si="24"/>
        <v>27373.24</v>
      </c>
      <c r="R34" s="60">
        <f t="shared" si="22"/>
        <v>729166.71000000054</v>
      </c>
      <c r="S34" s="64">
        <f t="shared" si="10"/>
        <v>36</v>
      </c>
      <c r="T34" s="3">
        <f>IF($T$9-1=1,$N$3,IF(T33-1&lt;0,$N$3+X34-1,IF(Z34="","",T33-1)))</f>
        <v>36</v>
      </c>
      <c r="U34" s="63" t="str">
        <f t="shared" ref="U34:U97" si="25">IF(T33=0,"A",IF(U33="A","A","C"))</f>
        <v>A</v>
      </c>
      <c r="V34" s="63" t="str">
        <f t="shared" si="1"/>
        <v>A</v>
      </c>
      <c r="W34" s="84" t="str">
        <f t="shared" si="2"/>
        <v>Mensal</v>
      </c>
      <c r="X34" s="3">
        <f t="shared" si="13"/>
        <v>1</v>
      </c>
      <c r="Y34" s="3">
        <f t="shared" si="14"/>
        <v>1</v>
      </c>
      <c r="Z34" s="3">
        <f t="shared" si="15"/>
        <v>1</v>
      </c>
      <c r="AA34" s="3">
        <f t="shared" si="16"/>
        <v>36</v>
      </c>
      <c r="AJ34" s="5">
        <v>26</v>
      </c>
      <c r="AK34" s="130">
        <v>1.6000000000000001E-3</v>
      </c>
    </row>
    <row r="35" spans="1:37" s="3" customFormat="1" x14ac:dyDescent="0.2">
      <c r="A35" s="76" t="str">
        <f t="shared" ref="A35:A44" si="26">CONCATENATE(TEXT(YEAR(D35),"0000"))</f>
        <v>2022</v>
      </c>
      <c r="B35" s="76" t="str">
        <f t="shared" ref="B35:B44" si="27">CONCATENATE((TEXT(MONTH(D35),"00")),"/",(TEXT(YEAR(D35),"0000")))</f>
        <v>06/2022</v>
      </c>
      <c r="C35" s="55">
        <f t="shared" si="5"/>
        <v>43265</v>
      </c>
      <c r="D35" s="56">
        <f>WORKDAY((F35+14)-1,1,Feriados!$B$3:$B$626)</f>
        <v>43265</v>
      </c>
      <c r="E35" s="56">
        <f t="shared" si="23"/>
        <v>43234</v>
      </c>
      <c r="F35" s="56">
        <f t="shared" si="17"/>
        <v>43251</v>
      </c>
      <c r="G35" s="57">
        <f>VLOOKUP(F35,'Série IPCA'!$K$10:$L$997,2,FALSE)</f>
        <v>0.33064685593588766</v>
      </c>
      <c r="H35" s="58">
        <f>NETWORKDAYS(IF(C34="",D34,C34),D35,Feriados!$B$3:$B$626)-1</f>
        <v>22</v>
      </c>
      <c r="I35" s="58">
        <f>NETWORKDAYS(E35,D35,Feriados!$B$3:$B$626)-1</f>
        <v>22</v>
      </c>
      <c r="J35" s="62">
        <f t="shared" si="18"/>
        <v>1.0033064685593589</v>
      </c>
      <c r="K35" s="62">
        <f t="shared" si="6"/>
        <v>1.0015844306490498</v>
      </c>
      <c r="L35" s="62">
        <f t="shared" si="7"/>
        <v>1.0012317211856352</v>
      </c>
      <c r="M35" s="62">
        <f t="shared" si="8"/>
        <v>1.0034298992021382</v>
      </c>
      <c r="N35" s="62">
        <f t="shared" si="19"/>
        <v>1.0095848277675219</v>
      </c>
      <c r="O35" s="59">
        <f t="shared" si="9"/>
        <v>6988.94</v>
      </c>
      <c r="P35" s="59">
        <f t="shared" si="20"/>
        <v>20833.330000000002</v>
      </c>
      <c r="Q35" s="59">
        <f t="shared" si="24"/>
        <v>27822.27</v>
      </c>
      <c r="R35" s="60">
        <f t="shared" si="22"/>
        <v>708333.38000000059</v>
      </c>
      <c r="S35" s="64">
        <f t="shared" si="10"/>
        <v>35</v>
      </c>
      <c r="T35" s="3">
        <f t="shared" ref="T35:T66" si="28">IF($T$9-1=1,$N$3,IF(T34-1&lt;0,$N$3,T34-1))</f>
        <v>35</v>
      </c>
      <c r="U35" s="63" t="str">
        <f t="shared" si="25"/>
        <v>A</v>
      </c>
      <c r="V35" s="63" t="str">
        <f t="shared" si="1"/>
        <v>A</v>
      </c>
      <c r="W35" s="84" t="str">
        <f t="shared" si="2"/>
        <v>Mensal</v>
      </c>
      <c r="X35" s="3">
        <f t="shared" si="13"/>
        <v>1</v>
      </c>
      <c r="Y35" s="3">
        <f t="shared" si="14"/>
        <v>1</v>
      </c>
      <c r="Z35" s="3">
        <f t="shared" si="15"/>
        <v>1</v>
      </c>
      <c r="AA35" s="3">
        <f t="shared" si="16"/>
        <v>35</v>
      </c>
      <c r="AJ35" s="5">
        <v>27</v>
      </c>
      <c r="AK35" s="130">
        <v>1.6000000000000001E-3</v>
      </c>
    </row>
    <row r="36" spans="1:37" s="3" customFormat="1" x14ac:dyDescent="0.2">
      <c r="A36" s="76" t="str">
        <f t="shared" si="26"/>
        <v>2022</v>
      </c>
      <c r="B36" s="76" t="str">
        <f t="shared" si="27"/>
        <v>07/2022</v>
      </c>
      <c r="C36" s="55">
        <f t="shared" si="5"/>
        <v>43295</v>
      </c>
      <c r="D36" s="56">
        <f>WORKDAY((F36+14)-1,1,Feriados!$B$3:$B$626)</f>
        <v>43295</v>
      </c>
      <c r="E36" s="56">
        <f t="shared" si="23"/>
        <v>43265</v>
      </c>
      <c r="F36" s="56">
        <f t="shared" si="17"/>
        <v>43281</v>
      </c>
      <c r="G36" s="57">
        <f>VLOOKUP(F36,'Série IPCA'!$K$10:$L$997,2,FALSE)</f>
        <v>0.33138944377818852</v>
      </c>
      <c r="H36" s="58">
        <f>NETWORKDAYS(IF(C35="",D35,C35),D36,Feriados!$B$3:$B$626)-1</f>
        <v>21</v>
      </c>
      <c r="I36" s="58">
        <f>NETWORKDAYS(E36,D36,Feriados!$B$3:$B$626)-1</f>
        <v>21</v>
      </c>
      <c r="J36" s="62">
        <f t="shared" si="18"/>
        <v>1.003313894437782</v>
      </c>
      <c r="K36" s="62">
        <f t="shared" si="6"/>
        <v>1.0015123566425381</v>
      </c>
      <c r="L36" s="62">
        <f t="shared" si="7"/>
        <v>1.0011757009600362</v>
      </c>
      <c r="M36" s="62">
        <f t="shared" si="8"/>
        <v>1.0032737397821989</v>
      </c>
      <c r="N36" s="62">
        <f t="shared" si="19"/>
        <v>1.0093060675649146</v>
      </c>
      <c r="O36" s="59">
        <f t="shared" si="9"/>
        <v>6591.8</v>
      </c>
      <c r="P36" s="59">
        <f t="shared" si="20"/>
        <v>20833.330000000002</v>
      </c>
      <c r="Q36" s="59">
        <f t="shared" si="24"/>
        <v>27425.13</v>
      </c>
      <c r="R36" s="60">
        <f t="shared" si="22"/>
        <v>687500.05000000063</v>
      </c>
      <c r="S36" s="64">
        <f t="shared" si="10"/>
        <v>34</v>
      </c>
      <c r="T36" s="3">
        <f t="shared" si="28"/>
        <v>34</v>
      </c>
      <c r="U36" s="63" t="str">
        <f t="shared" si="25"/>
        <v>A</v>
      </c>
      <c r="V36" s="63" t="str">
        <f t="shared" si="1"/>
        <v>A</v>
      </c>
      <c r="W36" s="84" t="str">
        <f t="shared" si="2"/>
        <v>Mensal</v>
      </c>
      <c r="X36" s="3">
        <f t="shared" si="13"/>
        <v>1</v>
      </c>
      <c r="Y36" s="3">
        <f t="shared" si="14"/>
        <v>1</v>
      </c>
      <c r="Z36" s="3">
        <f t="shared" si="15"/>
        <v>1</v>
      </c>
      <c r="AA36" s="3">
        <f t="shared" si="16"/>
        <v>34</v>
      </c>
      <c r="AJ36" s="5">
        <v>28</v>
      </c>
      <c r="AK36" s="130">
        <v>1.5E-3</v>
      </c>
    </row>
    <row r="37" spans="1:37" s="3" customFormat="1" x14ac:dyDescent="0.2">
      <c r="A37" s="76" t="str">
        <f t="shared" si="26"/>
        <v>2022</v>
      </c>
      <c r="B37" s="76" t="str">
        <f t="shared" si="27"/>
        <v>08/2022</v>
      </c>
      <c r="C37" s="55">
        <f t="shared" si="5"/>
        <v>43326</v>
      </c>
      <c r="D37" s="56">
        <f>WORKDAY((F37+14)-1,1,Feriados!$B$3:$B$626)</f>
        <v>43326</v>
      </c>
      <c r="E37" s="56">
        <f t="shared" si="23"/>
        <v>43295</v>
      </c>
      <c r="F37" s="56">
        <f t="shared" si="17"/>
        <v>43312</v>
      </c>
      <c r="G37" s="57">
        <f>VLOOKUP(F37,'Série IPCA'!$K$10:$L$997,2,FALSE)</f>
        <v>0.33199571006996015</v>
      </c>
      <c r="H37" s="58">
        <f>NETWORKDAYS(IF(C36="",D36,C36),D37,Feriados!$B$3:$B$626)-1</f>
        <v>21</v>
      </c>
      <c r="I37" s="58">
        <f>NETWORKDAYS(E37,D37,Feriados!$B$3:$B$626)-1</f>
        <v>21</v>
      </c>
      <c r="J37" s="62">
        <f t="shared" si="18"/>
        <v>1.0033199571006997</v>
      </c>
      <c r="K37" s="62">
        <f t="shared" si="6"/>
        <v>1.0015123566425381</v>
      </c>
      <c r="L37" s="62">
        <f t="shared" si="7"/>
        <v>1.0011757009600362</v>
      </c>
      <c r="M37" s="62">
        <f t="shared" si="8"/>
        <v>1.0032737397821989</v>
      </c>
      <c r="N37" s="62">
        <f t="shared" si="19"/>
        <v>1.0093121664363669</v>
      </c>
      <c r="O37" s="59">
        <f t="shared" si="9"/>
        <v>6402.11</v>
      </c>
      <c r="P37" s="59">
        <f t="shared" si="20"/>
        <v>20833.330000000002</v>
      </c>
      <c r="Q37" s="59">
        <f t="shared" si="24"/>
        <v>27235.440000000002</v>
      </c>
      <c r="R37" s="60">
        <f t="shared" si="22"/>
        <v>666666.72000000067</v>
      </c>
      <c r="S37" s="64">
        <f t="shared" si="10"/>
        <v>33</v>
      </c>
      <c r="T37" s="3">
        <f t="shared" si="28"/>
        <v>33</v>
      </c>
      <c r="U37" s="63" t="str">
        <f t="shared" si="25"/>
        <v>A</v>
      </c>
      <c r="V37" s="63" t="str">
        <f t="shared" si="1"/>
        <v>A</v>
      </c>
      <c r="W37" s="84" t="str">
        <f t="shared" si="2"/>
        <v>Mensal</v>
      </c>
      <c r="X37" s="3">
        <f t="shared" si="13"/>
        <v>1</v>
      </c>
      <c r="Y37" s="3">
        <f t="shared" si="14"/>
        <v>1</v>
      </c>
      <c r="Z37" s="3">
        <f t="shared" si="15"/>
        <v>1</v>
      </c>
      <c r="AA37" s="3">
        <f t="shared" si="16"/>
        <v>33</v>
      </c>
      <c r="AJ37" s="5">
        <v>29</v>
      </c>
      <c r="AK37" s="130">
        <v>1.5E-3</v>
      </c>
    </row>
    <row r="38" spans="1:37" s="3" customFormat="1" x14ac:dyDescent="0.2">
      <c r="A38" s="76" t="str">
        <f t="shared" si="26"/>
        <v>2022</v>
      </c>
      <c r="B38" s="76" t="str">
        <f t="shared" si="27"/>
        <v>09/2022</v>
      </c>
      <c r="C38" s="55">
        <f t="shared" si="5"/>
        <v>43357</v>
      </c>
      <c r="D38" s="56">
        <f>WORKDAY((F38+14)-1,1,Feriados!$B$3:$B$626)</f>
        <v>43357</v>
      </c>
      <c r="E38" s="56">
        <f t="shared" si="23"/>
        <v>43326</v>
      </c>
      <c r="F38" s="56">
        <f t="shared" si="17"/>
        <v>43343</v>
      </c>
      <c r="G38" s="57">
        <f>VLOOKUP(F38,'Série IPCA'!$K$10:$L$997,2,FALSE)</f>
        <v>0.33227758929255907</v>
      </c>
      <c r="H38" s="58">
        <f>NETWORKDAYS(IF(C37="",D37,C37),D38,Feriados!$B$3:$B$626)-1</f>
        <v>22</v>
      </c>
      <c r="I38" s="58">
        <f>NETWORKDAYS(E38,D38,Feriados!$B$3:$B$626)-1</f>
        <v>22</v>
      </c>
      <c r="J38" s="62">
        <f t="shared" si="18"/>
        <v>1.0033227758929255</v>
      </c>
      <c r="K38" s="62">
        <f t="shared" si="6"/>
        <v>1.0015844306490498</v>
      </c>
      <c r="L38" s="62">
        <f t="shared" si="7"/>
        <v>1.0012317211856352</v>
      </c>
      <c r="M38" s="62">
        <f t="shared" si="8"/>
        <v>1.0034298992021382</v>
      </c>
      <c r="N38" s="62">
        <f t="shared" si="19"/>
        <v>1.0096012371469751</v>
      </c>
      <c r="O38" s="59">
        <f t="shared" si="9"/>
        <v>6400.83</v>
      </c>
      <c r="P38" s="59">
        <f t="shared" si="20"/>
        <v>20833.34</v>
      </c>
      <c r="Q38" s="59">
        <f t="shared" si="24"/>
        <v>27234.17</v>
      </c>
      <c r="R38" s="60">
        <f t="shared" si="22"/>
        <v>645833.3800000007</v>
      </c>
      <c r="S38" s="64">
        <f t="shared" si="10"/>
        <v>32</v>
      </c>
      <c r="T38" s="3">
        <f t="shared" si="28"/>
        <v>32</v>
      </c>
      <c r="U38" s="63" t="str">
        <f t="shared" si="25"/>
        <v>A</v>
      </c>
      <c r="V38" s="63" t="str">
        <f t="shared" si="1"/>
        <v>A</v>
      </c>
      <c r="W38" s="84" t="str">
        <f t="shared" si="2"/>
        <v>Mensal</v>
      </c>
      <c r="X38" s="3">
        <f t="shared" si="13"/>
        <v>1</v>
      </c>
      <c r="Y38" s="3">
        <f t="shared" si="14"/>
        <v>1</v>
      </c>
      <c r="Z38" s="3">
        <f t="shared" si="15"/>
        <v>1</v>
      </c>
      <c r="AA38" s="3">
        <f t="shared" si="16"/>
        <v>32</v>
      </c>
      <c r="AJ38" s="5">
        <v>30</v>
      </c>
      <c r="AK38" s="130">
        <v>1.5E-3</v>
      </c>
    </row>
    <row r="39" spans="1:37" s="3" customFormat="1" x14ac:dyDescent="0.2">
      <c r="A39" s="76" t="str">
        <f t="shared" si="26"/>
        <v>2022</v>
      </c>
      <c r="B39" s="76" t="str">
        <f t="shared" si="27"/>
        <v>10/2022</v>
      </c>
      <c r="C39" s="55">
        <f t="shared" si="5"/>
        <v>43389</v>
      </c>
      <c r="D39" s="56">
        <f>WORKDAY((F39+14)-1,1,Feriados!$B$3:$B$626)</f>
        <v>43389</v>
      </c>
      <c r="E39" s="56">
        <f t="shared" si="23"/>
        <v>43357</v>
      </c>
      <c r="F39" s="56">
        <f t="shared" si="17"/>
        <v>43373</v>
      </c>
      <c r="G39" s="57">
        <f>VLOOKUP(F39,'Série IPCA'!$K$10:$L$997,2,FALSE)</f>
        <v>0.33225789894794827</v>
      </c>
      <c r="H39" s="58">
        <f>NETWORKDAYS(IF(C38="",D38,C38),D39,Feriados!$B$3:$B$626)-1</f>
        <v>21</v>
      </c>
      <c r="I39" s="58">
        <f>NETWORKDAYS(E39,D39,Feriados!$B$3:$B$626)-1</f>
        <v>21</v>
      </c>
      <c r="J39" s="62">
        <f t="shared" si="18"/>
        <v>1.0033225789894795</v>
      </c>
      <c r="K39" s="62">
        <f t="shared" si="6"/>
        <v>1.0015123566425381</v>
      </c>
      <c r="L39" s="62">
        <f t="shared" si="7"/>
        <v>1.0011757009600362</v>
      </c>
      <c r="M39" s="62">
        <f t="shared" si="8"/>
        <v>1.0032737397821989</v>
      </c>
      <c r="N39" s="62">
        <f t="shared" si="19"/>
        <v>1.009314803984066</v>
      </c>
      <c r="O39" s="59">
        <f t="shared" si="9"/>
        <v>6015.81</v>
      </c>
      <c r="P39" s="59">
        <f t="shared" si="20"/>
        <v>20833.330000000002</v>
      </c>
      <c r="Q39" s="59">
        <f t="shared" si="24"/>
        <v>26849.140000000003</v>
      </c>
      <c r="R39" s="60">
        <f t="shared" si="22"/>
        <v>625000.05000000075</v>
      </c>
      <c r="S39" s="64">
        <f t="shared" si="10"/>
        <v>31</v>
      </c>
      <c r="T39" s="3">
        <f t="shared" si="28"/>
        <v>31</v>
      </c>
      <c r="U39" s="63" t="str">
        <f t="shared" si="25"/>
        <v>A</v>
      </c>
      <c r="V39" s="63" t="str">
        <f t="shared" si="1"/>
        <v>A</v>
      </c>
      <c r="W39" s="84" t="str">
        <f t="shared" si="2"/>
        <v>Mensal</v>
      </c>
      <c r="X39" s="3">
        <f t="shared" si="13"/>
        <v>1</v>
      </c>
      <c r="Y39" s="3">
        <f t="shared" si="14"/>
        <v>1</v>
      </c>
      <c r="Z39" s="3">
        <f t="shared" si="15"/>
        <v>1</v>
      </c>
      <c r="AA39" s="3">
        <f t="shared" si="16"/>
        <v>31</v>
      </c>
      <c r="AJ39" s="5">
        <v>31</v>
      </c>
      <c r="AK39" s="130">
        <v>1.4E-3</v>
      </c>
    </row>
    <row r="40" spans="1:37" s="3" customFormat="1" x14ac:dyDescent="0.2">
      <c r="A40" s="76" t="str">
        <f t="shared" si="26"/>
        <v>2022</v>
      </c>
      <c r="B40" s="76" t="str">
        <f t="shared" si="27"/>
        <v>11/2022</v>
      </c>
      <c r="C40" s="55">
        <f t="shared" si="5"/>
        <v>43419</v>
      </c>
      <c r="D40" s="56">
        <f>WORKDAY((F40+14)-1,1,Feriados!$B$3:$B$626)</f>
        <v>43419</v>
      </c>
      <c r="E40" s="56">
        <f t="shared" si="23"/>
        <v>43387</v>
      </c>
      <c r="F40" s="56">
        <f t="shared" si="17"/>
        <v>43404</v>
      </c>
      <c r="G40" s="57">
        <f>VLOOKUP(F40,'Série IPCA'!$K$10:$L$997,2,FALSE)</f>
        <v>0.33204171427051543</v>
      </c>
      <c r="H40" s="58">
        <f>NETWORKDAYS(IF(C39="",D39,C39),D40,Feriados!$B$3:$B$626)-1</f>
        <v>20</v>
      </c>
      <c r="I40" s="58">
        <f>NETWORKDAYS(E40,D40,Feriados!$B$3:$B$626)-1</f>
        <v>20</v>
      </c>
      <c r="J40" s="62">
        <f t="shared" si="18"/>
        <v>1.0033204171427053</v>
      </c>
      <c r="K40" s="62">
        <f t="shared" si="6"/>
        <v>1.0014402878224715</v>
      </c>
      <c r="L40" s="62">
        <f t="shared" si="7"/>
        <v>1.0011196838688423</v>
      </c>
      <c r="M40" s="62">
        <f t="shared" si="8"/>
        <v>1.0031176046646693</v>
      </c>
      <c r="N40" s="62">
        <f t="shared" si="19"/>
        <v>1.0090264759665386</v>
      </c>
      <c r="O40" s="59">
        <f t="shared" si="9"/>
        <v>5641.55</v>
      </c>
      <c r="P40" s="59">
        <f t="shared" si="20"/>
        <v>20833.34</v>
      </c>
      <c r="Q40" s="59">
        <f t="shared" si="24"/>
        <v>26474.89</v>
      </c>
      <c r="R40" s="60">
        <f t="shared" si="22"/>
        <v>604166.71000000078</v>
      </c>
      <c r="S40" s="64">
        <f t="shared" si="10"/>
        <v>30</v>
      </c>
      <c r="T40" s="3">
        <f t="shared" si="28"/>
        <v>30</v>
      </c>
      <c r="U40" s="63" t="str">
        <f t="shared" si="25"/>
        <v>A</v>
      </c>
      <c r="V40" s="63" t="str">
        <f t="shared" si="1"/>
        <v>A</v>
      </c>
      <c r="W40" s="84" t="str">
        <f t="shared" si="2"/>
        <v>Mensal</v>
      </c>
      <c r="X40" s="3">
        <f t="shared" si="13"/>
        <v>1</v>
      </c>
      <c r="Y40" s="3">
        <f t="shared" si="14"/>
        <v>1</v>
      </c>
      <c r="Z40" s="3">
        <f t="shared" si="15"/>
        <v>1</v>
      </c>
      <c r="AA40" s="3">
        <f t="shared" si="16"/>
        <v>30</v>
      </c>
      <c r="AJ40" s="5">
        <v>32</v>
      </c>
      <c r="AK40" s="130">
        <v>1.4E-3</v>
      </c>
    </row>
    <row r="41" spans="1:37" s="3" customFormat="1" x14ac:dyDescent="0.2">
      <c r="A41" s="76" t="str">
        <f t="shared" si="26"/>
        <v>2022</v>
      </c>
      <c r="B41" s="76" t="str">
        <f t="shared" si="27"/>
        <v>12/2022</v>
      </c>
      <c r="C41" s="55">
        <f t="shared" si="5"/>
        <v>43448</v>
      </c>
      <c r="D41" s="56">
        <f>WORKDAY((F41+14)-1,1,Feriados!$B$3:$B$626)</f>
        <v>43448</v>
      </c>
      <c r="E41" s="56">
        <f t="shared" si="23"/>
        <v>43418</v>
      </c>
      <c r="F41" s="56">
        <f t="shared" si="17"/>
        <v>43434</v>
      </c>
      <c r="G41" s="57">
        <f>VLOOKUP(F41,'Série IPCA'!$K$10:$L$997,2,FALSE)</f>
        <v>0.33166265846044524</v>
      </c>
      <c r="H41" s="58">
        <f>NETWORKDAYS(IF(C40="",D40,C40),D41,Feriados!$B$3:$B$626)-1</f>
        <v>21</v>
      </c>
      <c r="I41" s="58">
        <f>NETWORKDAYS(E41,D41,Feriados!$B$3:$B$626)-1</f>
        <v>21</v>
      </c>
      <c r="J41" s="62">
        <f t="shared" si="18"/>
        <v>1.0033166265846045</v>
      </c>
      <c r="K41" s="62">
        <f t="shared" si="6"/>
        <v>1.0015123566425381</v>
      </c>
      <c r="L41" s="62">
        <f t="shared" si="7"/>
        <v>1.0011757009600362</v>
      </c>
      <c r="M41" s="62">
        <f t="shared" si="8"/>
        <v>1.0032737397821989</v>
      </c>
      <c r="N41" s="62">
        <f t="shared" si="19"/>
        <v>1.0093088160291597</v>
      </c>
      <c r="O41" s="59">
        <f t="shared" si="9"/>
        <v>5624.08</v>
      </c>
      <c r="P41" s="59">
        <f t="shared" si="20"/>
        <v>20833.330000000002</v>
      </c>
      <c r="Q41" s="59">
        <f t="shared" si="24"/>
        <v>26457.410000000003</v>
      </c>
      <c r="R41" s="60">
        <f t="shared" si="22"/>
        <v>583333.38000000082</v>
      </c>
      <c r="S41" s="64">
        <f t="shared" si="10"/>
        <v>29</v>
      </c>
      <c r="T41" s="3">
        <f t="shared" si="28"/>
        <v>29</v>
      </c>
      <c r="U41" s="63" t="str">
        <f t="shared" si="25"/>
        <v>A</v>
      </c>
      <c r="V41" s="63" t="str">
        <f t="shared" ref="V41:V72" si="29">IF(U41="A","A",IF($J$3="E","E",IF($J$3="C","C",0)))</f>
        <v>A</v>
      </c>
      <c r="W41" s="84" t="str">
        <f t="shared" ref="W41:W72" si="30">IF(U41="C",$K$4,IF(U41="A",$M$4,""))</f>
        <v>Mensal</v>
      </c>
      <c r="X41" s="3">
        <f t="shared" si="13"/>
        <v>1</v>
      </c>
      <c r="Y41" s="3">
        <f t="shared" si="14"/>
        <v>1</v>
      </c>
      <c r="Z41" s="3">
        <f t="shared" si="15"/>
        <v>1</v>
      </c>
      <c r="AA41" s="3">
        <f t="shared" si="16"/>
        <v>29</v>
      </c>
      <c r="AJ41" s="5">
        <v>33</v>
      </c>
      <c r="AK41" s="130">
        <v>1.4E-3</v>
      </c>
    </row>
    <row r="42" spans="1:37" s="3" customFormat="1" x14ac:dyDescent="0.2">
      <c r="A42" s="76" t="str">
        <f t="shared" si="26"/>
        <v>2023</v>
      </c>
      <c r="B42" s="76" t="str">
        <f t="shared" si="27"/>
        <v>01/2023</v>
      </c>
      <c r="C42" s="55">
        <f t="shared" ref="C42:C73" si="31">IF(S42="","",D42)</f>
        <v>43480</v>
      </c>
      <c r="D42" s="56">
        <f>WORKDAY((F42+14)-1,1,Feriados!$B$3:$B$626)</f>
        <v>43480</v>
      </c>
      <c r="E42" s="56">
        <f t="shared" si="23"/>
        <v>43448</v>
      </c>
      <c r="F42" s="56">
        <f t="shared" si="17"/>
        <v>43465</v>
      </c>
      <c r="G42" s="57">
        <f>VLOOKUP(F42,'Série IPCA'!$K$10:$L$997,2,FALSE)</f>
        <v>0.33121313905132355</v>
      </c>
      <c r="H42" s="58">
        <f>NETWORKDAYS(IF(C41="",D41,C41),D42,Feriados!$B$3:$B$626)-1</f>
        <v>22</v>
      </c>
      <c r="I42" s="58">
        <f>NETWORKDAYS(E42,D42,Feriados!$B$3:$B$626)-1</f>
        <v>22</v>
      </c>
      <c r="J42" s="62">
        <f t="shared" si="18"/>
        <v>1.0033121313905133</v>
      </c>
      <c r="K42" s="62">
        <f t="shared" ref="K42:K73" si="32">(1+$G$3/100)^(H42/252)</f>
        <v>1.0015844306490498</v>
      </c>
      <c r="L42" s="62">
        <f t="shared" ref="L42:L73" si="33">(1+$H$3/100)^(H42/252)</f>
        <v>1.0012317211856352</v>
      </c>
      <c r="M42" s="62">
        <f t="shared" ref="M42:M73" si="34">(1+$I$3/100)^(H42/252)</f>
        <v>1.0034298992021382</v>
      </c>
      <c r="N42" s="62">
        <f t="shared" si="19"/>
        <v>1.0095905260347962</v>
      </c>
      <c r="O42" s="59">
        <f t="shared" ref="O42:O73" si="35">IF(X42=Y42,IFERROR(IF(C42="",0,ROUND(R41*(N42-1),2)),0),0)</f>
        <v>5594.47</v>
      </c>
      <c r="P42" s="59">
        <f t="shared" si="20"/>
        <v>20833.34</v>
      </c>
      <c r="Q42" s="59">
        <f t="shared" si="24"/>
        <v>26427.81</v>
      </c>
      <c r="R42" s="60">
        <f t="shared" si="22"/>
        <v>562500.04000000085</v>
      </c>
      <c r="S42" s="64">
        <f t="shared" ref="S42:S73" si="36">IF(Z42=0,"",IF(U42="C",AA42,IF(U42="A",AA42,"")))</f>
        <v>28</v>
      </c>
      <c r="T42" s="3">
        <f t="shared" si="28"/>
        <v>28</v>
      </c>
      <c r="U42" s="63" t="str">
        <f t="shared" si="25"/>
        <v>A</v>
      </c>
      <c r="V42" s="63" t="str">
        <f t="shared" si="29"/>
        <v>A</v>
      </c>
      <c r="W42" s="84" t="str">
        <f t="shared" si="30"/>
        <v>Mensal</v>
      </c>
      <c r="X42" s="3">
        <f t="shared" si="13"/>
        <v>1</v>
      </c>
      <c r="Y42" s="3">
        <f t="shared" ref="Y42:Y73" si="37">IF(Y41=X41,1,Y41+1)</f>
        <v>1</v>
      </c>
      <c r="Z42" s="3">
        <f t="shared" ref="Z42:Z73" si="38">IF(X42=Y42,Y42/X42,0)</f>
        <v>1</v>
      </c>
      <c r="AA42" s="3">
        <f t="shared" ref="AA42:AA73" si="39">IF((AA41-Z42)=0,$N$3,AA41-Z42)</f>
        <v>28</v>
      </c>
      <c r="AJ42" s="5">
        <v>34</v>
      </c>
      <c r="AK42" s="130">
        <v>1.2999999999999999E-3</v>
      </c>
    </row>
    <row r="43" spans="1:37" s="3" customFormat="1" x14ac:dyDescent="0.2">
      <c r="A43" s="76" t="str">
        <f t="shared" si="26"/>
        <v>2023</v>
      </c>
      <c r="B43" s="76" t="str">
        <f t="shared" si="27"/>
        <v>02/2023</v>
      </c>
      <c r="C43" s="55">
        <f t="shared" si="31"/>
        <v>43510</v>
      </c>
      <c r="D43" s="56">
        <f>WORKDAY((F43+14)-1,1,Feriados!$B$3:$B$626)</f>
        <v>43510</v>
      </c>
      <c r="E43" s="56">
        <f t="shared" si="23"/>
        <v>43479</v>
      </c>
      <c r="F43" s="56">
        <f t="shared" si="17"/>
        <v>43496</v>
      </c>
      <c r="G43" s="57">
        <f>VLOOKUP(F43,'Série IPCA'!$K$10:$L$997,2,FALSE)</f>
        <v>0.33089873905741118</v>
      </c>
      <c r="H43" s="58">
        <f>NETWORKDAYS(IF(C42="",D42,C42),D43,Feriados!$B$3:$B$626)-1</f>
        <v>22</v>
      </c>
      <c r="I43" s="58">
        <f>NETWORKDAYS(E43,D43,Feriados!$B$3:$B$626)-1</f>
        <v>22</v>
      </c>
      <c r="J43" s="62">
        <f t="shared" si="18"/>
        <v>1.0033089873905741</v>
      </c>
      <c r="K43" s="62">
        <f t="shared" si="32"/>
        <v>1.0015844306490498</v>
      </c>
      <c r="L43" s="62">
        <f t="shared" si="33"/>
        <v>1.0012317211856352</v>
      </c>
      <c r="M43" s="62">
        <f t="shared" si="34"/>
        <v>1.0034298992021382</v>
      </c>
      <c r="N43" s="62">
        <f t="shared" si="19"/>
        <v>1.0095873623607476</v>
      </c>
      <c r="O43" s="59">
        <f t="shared" si="35"/>
        <v>5392.89</v>
      </c>
      <c r="P43" s="59">
        <f t="shared" si="20"/>
        <v>20833.330000000002</v>
      </c>
      <c r="Q43" s="59">
        <f t="shared" si="24"/>
        <v>26226.22</v>
      </c>
      <c r="R43" s="60">
        <f t="shared" si="22"/>
        <v>541666.71000000089</v>
      </c>
      <c r="S43" s="64">
        <f t="shared" si="36"/>
        <v>27</v>
      </c>
      <c r="T43" s="3">
        <f t="shared" si="28"/>
        <v>27</v>
      </c>
      <c r="U43" s="63" t="str">
        <f t="shared" si="25"/>
        <v>A</v>
      </c>
      <c r="V43" s="63" t="str">
        <f t="shared" si="29"/>
        <v>A</v>
      </c>
      <c r="W43" s="84" t="str">
        <f t="shared" si="30"/>
        <v>Mensal</v>
      </c>
      <c r="X43" s="3">
        <f t="shared" si="13"/>
        <v>1</v>
      </c>
      <c r="Y43" s="3">
        <f t="shared" si="37"/>
        <v>1</v>
      </c>
      <c r="Z43" s="3">
        <f t="shared" si="38"/>
        <v>1</v>
      </c>
      <c r="AA43" s="3">
        <f t="shared" si="39"/>
        <v>27</v>
      </c>
      <c r="AJ43" s="5">
        <v>35</v>
      </c>
      <c r="AK43" s="130">
        <v>1.2999999999999999E-3</v>
      </c>
    </row>
    <row r="44" spans="1:37" s="3" customFormat="1" x14ac:dyDescent="0.2">
      <c r="A44" s="76" t="str">
        <f t="shared" si="26"/>
        <v>2023</v>
      </c>
      <c r="B44" s="76" t="str">
        <f t="shared" si="27"/>
        <v>03/2023</v>
      </c>
      <c r="C44" s="55">
        <f t="shared" si="31"/>
        <v>43538</v>
      </c>
      <c r="D44" s="56">
        <f>WORKDAY((F44+14)-1,1,Feriados!$B$3:$B$626)</f>
        <v>43538</v>
      </c>
      <c r="E44" s="56">
        <f t="shared" si="23"/>
        <v>43510</v>
      </c>
      <c r="F44" s="56">
        <f t="shared" si="17"/>
        <v>43524</v>
      </c>
      <c r="G44" s="57">
        <f>VLOOKUP(F44,'Série IPCA'!$K$10:$L$997,2,FALSE)</f>
        <v>0.33089666735866147</v>
      </c>
      <c r="H44" s="58">
        <f>NETWORKDAYS(IF(C43="",D43,C43),D44,Feriados!$B$3:$B$626)-1</f>
        <v>18</v>
      </c>
      <c r="I44" s="58">
        <f>NETWORKDAYS(E44,D44,Feriados!$B$3:$B$626)-1</f>
        <v>18</v>
      </c>
      <c r="J44" s="62">
        <f t="shared" si="18"/>
        <v>1.0033089666735866</v>
      </c>
      <c r="K44" s="62">
        <f t="shared" si="32"/>
        <v>1.0012961657401798</v>
      </c>
      <c r="L44" s="62">
        <f t="shared" si="33"/>
        <v>1.0010076590889676</v>
      </c>
      <c r="M44" s="62">
        <f t="shared" si="34"/>
        <v>1.0028054073217112</v>
      </c>
      <c r="N44" s="62">
        <f t="shared" si="19"/>
        <v>1.0084429037480636</v>
      </c>
      <c r="O44" s="59">
        <f t="shared" si="35"/>
        <v>4573.24</v>
      </c>
      <c r="P44" s="59">
        <f t="shared" si="20"/>
        <v>20833.34</v>
      </c>
      <c r="Q44" s="59">
        <f t="shared" si="24"/>
        <v>25406.58</v>
      </c>
      <c r="R44" s="60">
        <f t="shared" si="22"/>
        <v>520833.37000000087</v>
      </c>
      <c r="S44" s="64">
        <f t="shared" si="36"/>
        <v>26</v>
      </c>
      <c r="T44" s="3">
        <f t="shared" si="28"/>
        <v>26</v>
      </c>
      <c r="U44" s="63" t="str">
        <f t="shared" si="25"/>
        <v>A</v>
      </c>
      <c r="V44" s="63" t="str">
        <f t="shared" si="29"/>
        <v>A</v>
      </c>
      <c r="W44" s="84" t="str">
        <f t="shared" si="30"/>
        <v>Mensal</v>
      </c>
      <c r="X44" s="3">
        <f t="shared" si="13"/>
        <v>1</v>
      </c>
      <c r="Y44" s="3">
        <f t="shared" si="37"/>
        <v>1</v>
      </c>
      <c r="Z44" s="3">
        <f t="shared" si="38"/>
        <v>1</v>
      </c>
      <c r="AA44" s="3">
        <f t="shared" si="39"/>
        <v>26</v>
      </c>
      <c r="AJ44" s="5">
        <v>36</v>
      </c>
      <c r="AK44" s="130">
        <v>1.2999999999999999E-3</v>
      </c>
    </row>
    <row r="45" spans="1:37" s="3" customFormat="1" x14ac:dyDescent="0.2">
      <c r="A45" s="76" t="str">
        <f t="shared" ref="A45:A108" si="40">CONCATENATE(TEXT(YEAR(D45),"0000"))</f>
        <v>2023</v>
      </c>
      <c r="B45" s="76" t="str">
        <f t="shared" ref="B45:B108" si="41">CONCATENATE((TEXT(MONTH(D45),"00")),"/",(TEXT(YEAR(D45),"0000")))</f>
        <v>04/2023</v>
      </c>
      <c r="C45" s="55">
        <f t="shared" si="31"/>
        <v>43571</v>
      </c>
      <c r="D45" s="56">
        <f>WORKDAY((F45+14)-1,1,Feriados!$B$3:$B$626)</f>
        <v>43571</v>
      </c>
      <c r="E45" s="56">
        <f t="shared" si="23"/>
        <v>43538</v>
      </c>
      <c r="F45" s="56">
        <f t="shared" ref="F45:F108" si="42">EOMONTH(E45,0)+1</f>
        <v>43555</v>
      </c>
      <c r="G45" s="57">
        <f>VLOOKUP(F45,'Série IPCA'!$K$10:$L$997,2,FALSE)</f>
        <v>0.33118809141013361</v>
      </c>
      <c r="H45" s="58">
        <f>NETWORKDAYS(IF(C44="",D44,C44),D45,Feriados!$B$3:$B$626)-1</f>
        <v>22</v>
      </c>
      <c r="I45" s="58">
        <f>NETWORKDAYS(E45,D45,Feriados!$B$3:$B$626)-1</f>
        <v>22</v>
      </c>
      <c r="J45" s="62">
        <f t="shared" ref="J45:J108" si="43">(1+G45/100)^(H45/I45)</f>
        <v>1.0033118809141013</v>
      </c>
      <c r="K45" s="62">
        <f t="shared" si="32"/>
        <v>1.0015844306490498</v>
      </c>
      <c r="L45" s="62">
        <f t="shared" si="33"/>
        <v>1.0012317211856352</v>
      </c>
      <c r="M45" s="62">
        <f t="shared" si="34"/>
        <v>1.0034298992021382</v>
      </c>
      <c r="N45" s="62">
        <f t="shared" si="19"/>
        <v>1.0095902739909857</v>
      </c>
      <c r="O45" s="59">
        <f t="shared" si="35"/>
        <v>4994.93</v>
      </c>
      <c r="P45" s="59">
        <f t="shared" si="20"/>
        <v>20833.330000000002</v>
      </c>
      <c r="Q45" s="59">
        <f t="shared" si="24"/>
        <v>25828.260000000002</v>
      </c>
      <c r="R45" s="60">
        <f t="shared" si="22"/>
        <v>500000.04000000085</v>
      </c>
      <c r="S45" s="64">
        <f t="shared" si="36"/>
        <v>25</v>
      </c>
      <c r="T45" s="3">
        <f t="shared" si="28"/>
        <v>25</v>
      </c>
      <c r="U45" s="63" t="str">
        <f t="shared" si="25"/>
        <v>A</v>
      </c>
      <c r="V45" s="63" t="str">
        <f t="shared" si="29"/>
        <v>A</v>
      </c>
      <c r="W45" s="84" t="str">
        <f t="shared" si="30"/>
        <v>Mensal</v>
      </c>
      <c r="X45" s="3">
        <f t="shared" si="13"/>
        <v>1</v>
      </c>
      <c r="Y45" s="3">
        <f t="shared" si="37"/>
        <v>1</v>
      </c>
      <c r="Z45" s="3">
        <f t="shared" si="38"/>
        <v>1</v>
      </c>
      <c r="AA45" s="3">
        <f t="shared" si="39"/>
        <v>25</v>
      </c>
      <c r="AJ45" s="5">
        <v>37</v>
      </c>
      <c r="AK45" s="130">
        <v>1.1999999999999999E-3</v>
      </c>
    </row>
    <row r="46" spans="1:37" x14ac:dyDescent="0.2">
      <c r="A46" s="76" t="str">
        <f t="shared" si="40"/>
        <v>2023</v>
      </c>
      <c r="B46" s="76" t="str">
        <f t="shared" si="41"/>
        <v>05/2023</v>
      </c>
      <c r="C46" s="55">
        <f t="shared" si="31"/>
        <v>43599</v>
      </c>
      <c r="D46" s="56">
        <f>WORKDAY((F46+14)-1,1,Feriados!$B$3:$B$626)</f>
        <v>43599</v>
      </c>
      <c r="E46" s="56">
        <f t="shared" si="23"/>
        <v>43569</v>
      </c>
      <c r="F46" s="56">
        <f t="shared" si="42"/>
        <v>43585</v>
      </c>
      <c r="G46" s="57">
        <f>VLOOKUP(F46,'Série IPCA'!$K$10:$L$997,2,FALSE)</f>
        <v>0.33137241137635798</v>
      </c>
      <c r="H46" s="58">
        <f>NETWORKDAYS(IF(C45="",D45,C45),D46,Feriados!$B$3:$B$626)-1</f>
        <v>18</v>
      </c>
      <c r="I46" s="58">
        <f>NETWORKDAYS(E46,D46,Feriados!$B$3:$B$626)-1</f>
        <v>18</v>
      </c>
      <c r="J46" s="62">
        <f t="shared" si="43"/>
        <v>1.0033137241137635</v>
      </c>
      <c r="K46" s="62">
        <f t="shared" si="32"/>
        <v>1.0012961657401798</v>
      </c>
      <c r="L46" s="62">
        <f t="shared" si="33"/>
        <v>1.0010076590889676</v>
      </c>
      <c r="M46" s="62">
        <f t="shared" si="34"/>
        <v>1.0028054073217112</v>
      </c>
      <c r="N46" s="62">
        <f t="shared" si="19"/>
        <v>1.0084476855320859</v>
      </c>
      <c r="O46" s="59">
        <f t="shared" si="35"/>
        <v>4223.84</v>
      </c>
      <c r="P46" s="59">
        <f t="shared" si="20"/>
        <v>20833.34</v>
      </c>
      <c r="Q46" s="59">
        <f t="shared" si="24"/>
        <v>25057.18</v>
      </c>
      <c r="R46" s="60">
        <f t="shared" si="22"/>
        <v>479166.70000000083</v>
      </c>
      <c r="S46" s="64">
        <f t="shared" si="36"/>
        <v>24</v>
      </c>
      <c r="T46" s="3">
        <f t="shared" si="28"/>
        <v>24</v>
      </c>
      <c r="U46" s="63" t="str">
        <f t="shared" si="25"/>
        <v>A</v>
      </c>
      <c r="V46" s="63" t="str">
        <f t="shared" si="29"/>
        <v>A</v>
      </c>
      <c r="W46" s="84" t="str">
        <f t="shared" si="30"/>
        <v>Mensal</v>
      </c>
      <c r="X46" s="3">
        <f t="shared" si="13"/>
        <v>1</v>
      </c>
      <c r="Y46" s="3">
        <f t="shared" si="37"/>
        <v>1</v>
      </c>
      <c r="Z46" s="3">
        <f t="shared" si="38"/>
        <v>1</v>
      </c>
      <c r="AA46" s="3">
        <f t="shared" si="39"/>
        <v>24</v>
      </c>
      <c r="AJ46" s="5">
        <v>38</v>
      </c>
      <c r="AK46" s="130">
        <v>1.1999999999999999E-3</v>
      </c>
    </row>
    <row r="47" spans="1:37" x14ac:dyDescent="0.2">
      <c r="A47" s="76" t="str">
        <f t="shared" si="40"/>
        <v>2023</v>
      </c>
      <c r="B47" s="76" t="str">
        <f t="shared" si="41"/>
        <v>06/2023</v>
      </c>
      <c r="C47" s="55">
        <f t="shared" si="31"/>
        <v>43630</v>
      </c>
      <c r="D47" s="56">
        <f>WORKDAY((F47+14)-1,1,Feriados!$B$3:$B$626)</f>
        <v>43630</v>
      </c>
      <c r="E47" s="56">
        <f t="shared" si="23"/>
        <v>43599</v>
      </c>
      <c r="F47" s="56">
        <f t="shared" si="42"/>
        <v>43616</v>
      </c>
      <c r="G47" s="57">
        <f>VLOOKUP(F47,'Série IPCA'!$K$10:$L$997,2,FALSE)</f>
        <v>0.3314867432507827</v>
      </c>
      <c r="H47" s="58">
        <f>NETWORKDAYS(IF(C46="",D46,C46),D47,Feriados!$B$3:$B$626)-1</f>
        <v>22</v>
      </c>
      <c r="I47" s="58">
        <f>NETWORKDAYS(E47,D47,Feriados!$B$3:$B$626)-1</f>
        <v>22</v>
      </c>
      <c r="J47" s="62">
        <f t="shared" si="43"/>
        <v>1.0033148674325079</v>
      </c>
      <c r="K47" s="62">
        <f t="shared" si="32"/>
        <v>1.0015844306490498</v>
      </c>
      <c r="L47" s="62">
        <f t="shared" si="33"/>
        <v>1.0012317211856352</v>
      </c>
      <c r="M47" s="62">
        <f t="shared" si="34"/>
        <v>1.0034298992021382</v>
      </c>
      <c r="N47" s="62">
        <f t="shared" si="19"/>
        <v>1.0095932791980342</v>
      </c>
      <c r="O47" s="59">
        <f t="shared" si="35"/>
        <v>4596.78</v>
      </c>
      <c r="P47" s="59">
        <f t="shared" si="20"/>
        <v>20833.330000000002</v>
      </c>
      <c r="Q47" s="59">
        <f t="shared" si="24"/>
        <v>25430.11</v>
      </c>
      <c r="R47" s="60">
        <f t="shared" si="22"/>
        <v>458333.37000000081</v>
      </c>
      <c r="S47" s="64">
        <f t="shared" si="36"/>
        <v>23</v>
      </c>
      <c r="T47" s="3">
        <f t="shared" si="28"/>
        <v>23</v>
      </c>
      <c r="U47" s="63" t="str">
        <f t="shared" si="25"/>
        <v>A</v>
      </c>
      <c r="V47" s="63" t="str">
        <f t="shared" si="29"/>
        <v>A</v>
      </c>
      <c r="W47" s="84" t="str">
        <f t="shared" si="30"/>
        <v>Mensal</v>
      </c>
      <c r="X47" s="3">
        <f t="shared" si="13"/>
        <v>1</v>
      </c>
      <c r="Y47" s="3">
        <f t="shared" si="37"/>
        <v>1</v>
      </c>
      <c r="Z47" s="3">
        <f t="shared" si="38"/>
        <v>1</v>
      </c>
      <c r="AA47" s="3">
        <f t="shared" si="39"/>
        <v>23</v>
      </c>
      <c r="AJ47" s="5">
        <v>39</v>
      </c>
      <c r="AK47" s="130">
        <v>1.1999999999999999E-3</v>
      </c>
    </row>
    <row r="48" spans="1:37" x14ac:dyDescent="0.2">
      <c r="A48" s="76" t="str">
        <f t="shared" si="40"/>
        <v>2023</v>
      </c>
      <c r="B48" s="76" t="str">
        <f t="shared" si="41"/>
        <v>07/2023</v>
      </c>
      <c r="C48" s="55">
        <f t="shared" si="31"/>
        <v>43662</v>
      </c>
      <c r="D48" s="56">
        <f>WORKDAY((F48+14)-1,1,Feriados!$B$3:$B$626)</f>
        <v>43662</v>
      </c>
      <c r="E48" s="56">
        <f t="shared" si="23"/>
        <v>43630</v>
      </c>
      <c r="F48" s="56">
        <f t="shared" si="42"/>
        <v>43646</v>
      </c>
      <c r="G48" s="57">
        <f>VLOOKUP(F48,'Série IPCA'!$K$10:$L$997,2,FALSE)</f>
        <v>0.33155673386035722</v>
      </c>
      <c r="H48" s="58">
        <f>NETWORKDAYS(IF(C47="",D47,C47),D48,Feriados!$B$3:$B$626)-1</f>
        <v>22</v>
      </c>
      <c r="I48" s="58">
        <f>NETWORKDAYS(E48,D48,Feriados!$B$3:$B$626)-1</f>
        <v>22</v>
      </c>
      <c r="J48" s="62">
        <f t="shared" si="43"/>
        <v>1.0033155673386036</v>
      </c>
      <c r="K48" s="62">
        <f t="shared" si="32"/>
        <v>1.0015844306490498</v>
      </c>
      <c r="L48" s="62">
        <f t="shared" si="33"/>
        <v>1.0012317211856352</v>
      </c>
      <c r="M48" s="62">
        <f t="shared" si="34"/>
        <v>1.0034298992021382</v>
      </c>
      <c r="N48" s="62">
        <f t="shared" si="19"/>
        <v>1.0095939834839103</v>
      </c>
      <c r="O48" s="59">
        <f t="shared" si="35"/>
        <v>4397.24</v>
      </c>
      <c r="P48" s="59">
        <f t="shared" si="20"/>
        <v>20833.34</v>
      </c>
      <c r="Q48" s="59">
        <f t="shared" si="24"/>
        <v>25230.58</v>
      </c>
      <c r="R48" s="60">
        <f t="shared" si="22"/>
        <v>437500.03000000078</v>
      </c>
      <c r="S48" s="64">
        <f t="shared" si="36"/>
        <v>22</v>
      </c>
      <c r="T48" s="3">
        <f t="shared" si="28"/>
        <v>22</v>
      </c>
      <c r="U48" s="63" t="str">
        <f t="shared" si="25"/>
        <v>A</v>
      </c>
      <c r="V48" s="63" t="str">
        <f t="shared" si="29"/>
        <v>A</v>
      </c>
      <c r="W48" s="84" t="str">
        <f t="shared" si="30"/>
        <v>Mensal</v>
      </c>
      <c r="X48" s="3">
        <f t="shared" si="13"/>
        <v>1</v>
      </c>
      <c r="Y48" s="3">
        <f t="shared" si="37"/>
        <v>1</v>
      </c>
      <c r="Z48" s="3">
        <f t="shared" si="38"/>
        <v>1</v>
      </c>
      <c r="AA48" s="3">
        <f t="shared" si="39"/>
        <v>22</v>
      </c>
      <c r="AJ48" s="5">
        <v>40</v>
      </c>
      <c r="AK48" s="130">
        <v>1.1000000000000001E-3</v>
      </c>
    </row>
    <row r="49" spans="1:37" x14ac:dyDescent="0.2">
      <c r="A49" s="76" t="str">
        <f t="shared" si="40"/>
        <v>2023</v>
      </c>
      <c r="B49" s="76" t="str">
        <f t="shared" si="41"/>
        <v>08/2023</v>
      </c>
      <c r="C49" s="55">
        <f t="shared" si="31"/>
        <v>43691</v>
      </c>
      <c r="D49" s="56">
        <f>WORKDAY((F49+14)-1,1,Feriados!$B$3:$B$626)</f>
        <v>43691</v>
      </c>
      <c r="E49" s="56">
        <f t="shared" si="23"/>
        <v>43660</v>
      </c>
      <c r="F49" s="56">
        <f t="shared" si="42"/>
        <v>43677</v>
      </c>
      <c r="G49" s="57">
        <f>VLOOKUP(F49,'Série IPCA'!$K$10:$L$997,2,FALSE)</f>
        <v>0.33157067470053797</v>
      </c>
      <c r="H49" s="58">
        <f>NETWORKDAYS(IF(C48="",D48,C48),D49,Feriados!$B$3:$B$626)-1</f>
        <v>21</v>
      </c>
      <c r="I49" s="58">
        <f>NETWORKDAYS(E49,D49,Feriados!$B$3:$B$626)-1</f>
        <v>21</v>
      </c>
      <c r="J49" s="62">
        <f t="shared" si="43"/>
        <v>1.0033157067470053</v>
      </c>
      <c r="K49" s="62">
        <f t="shared" si="32"/>
        <v>1.0015123566425381</v>
      </c>
      <c r="L49" s="62">
        <f t="shared" si="33"/>
        <v>1.0011757009600362</v>
      </c>
      <c r="M49" s="62">
        <f t="shared" si="34"/>
        <v>1.0032737397821989</v>
      </c>
      <c r="N49" s="62">
        <f t="shared" si="19"/>
        <v>1.0093078906979396</v>
      </c>
      <c r="O49" s="59">
        <f t="shared" si="35"/>
        <v>4072.2</v>
      </c>
      <c r="P49" s="59">
        <f t="shared" si="20"/>
        <v>20833.330000000002</v>
      </c>
      <c r="Q49" s="59">
        <f t="shared" si="24"/>
        <v>24905.530000000002</v>
      </c>
      <c r="R49" s="60">
        <f t="shared" si="22"/>
        <v>416666.70000000077</v>
      </c>
      <c r="S49" s="64">
        <f t="shared" si="36"/>
        <v>21</v>
      </c>
      <c r="T49" s="3">
        <f t="shared" si="28"/>
        <v>21</v>
      </c>
      <c r="U49" s="63" t="str">
        <f t="shared" si="25"/>
        <v>A</v>
      </c>
      <c r="V49" s="63" t="str">
        <f t="shared" si="29"/>
        <v>A</v>
      </c>
      <c r="W49" s="84" t="str">
        <f t="shared" si="30"/>
        <v>Mensal</v>
      </c>
      <c r="X49" s="3">
        <f t="shared" si="13"/>
        <v>1</v>
      </c>
      <c r="Y49" s="3">
        <f t="shared" si="37"/>
        <v>1</v>
      </c>
      <c r="Z49" s="3">
        <f t="shared" si="38"/>
        <v>1</v>
      </c>
      <c r="AA49" s="3">
        <f t="shared" si="39"/>
        <v>21</v>
      </c>
      <c r="AJ49" s="5">
        <v>41</v>
      </c>
      <c r="AK49" s="130">
        <v>1.1000000000000001E-3</v>
      </c>
    </row>
    <row r="50" spans="1:37" x14ac:dyDescent="0.2">
      <c r="A50" s="76" t="str">
        <f t="shared" si="40"/>
        <v>2023</v>
      </c>
      <c r="B50" s="76" t="str">
        <f t="shared" si="41"/>
        <v>09/2023</v>
      </c>
      <c r="C50" s="55">
        <f t="shared" si="31"/>
        <v>43722</v>
      </c>
      <c r="D50" s="56">
        <f>WORKDAY((F50+14)-1,1,Feriados!$B$3:$B$626)</f>
        <v>43722</v>
      </c>
      <c r="E50" s="56">
        <f t="shared" si="23"/>
        <v>43691</v>
      </c>
      <c r="F50" s="56">
        <f t="shared" si="42"/>
        <v>43708</v>
      </c>
      <c r="G50" s="57">
        <f>VLOOKUP(F50,'Série IPCA'!$K$10:$L$997,2,FALSE)</f>
        <v>0.33153525508641946</v>
      </c>
      <c r="H50" s="58">
        <f>NETWORKDAYS(IF(C49="",D49,C49),D50,Feriados!$B$3:$B$626)-1</f>
        <v>22</v>
      </c>
      <c r="I50" s="58">
        <f>NETWORKDAYS(E50,D50,Feriados!$B$3:$B$626)-1</f>
        <v>22</v>
      </c>
      <c r="J50" s="62">
        <f t="shared" si="43"/>
        <v>1.0033153525508642</v>
      </c>
      <c r="K50" s="62">
        <f t="shared" si="32"/>
        <v>1.0015844306490498</v>
      </c>
      <c r="L50" s="62">
        <f t="shared" si="33"/>
        <v>1.0012317211856352</v>
      </c>
      <c r="M50" s="62">
        <f t="shared" si="34"/>
        <v>1.0034298992021382</v>
      </c>
      <c r="N50" s="62">
        <f t="shared" si="19"/>
        <v>1.0095937673521005</v>
      </c>
      <c r="O50" s="59">
        <f t="shared" si="35"/>
        <v>3997.4</v>
      </c>
      <c r="P50" s="59">
        <f t="shared" si="20"/>
        <v>20833.34</v>
      </c>
      <c r="Q50" s="59">
        <f t="shared" si="24"/>
        <v>24830.74</v>
      </c>
      <c r="R50" s="60">
        <f t="shared" si="22"/>
        <v>395833.36000000074</v>
      </c>
      <c r="S50" s="64">
        <f t="shared" si="36"/>
        <v>20</v>
      </c>
      <c r="T50" s="3">
        <f t="shared" si="28"/>
        <v>20</v>
      </c>
      <c r="U50" s="63" t="str">
        <f t="shared" si="25"/>
        <v>A</v>
      </c>
      <c r="V50" s="63" t="str">
        <f t="shared" si="29"/>
        <v>A</v>
      </c>
      <c r="W50" s="84" t="str">
        <f t="shared" si="30"/>
        <v>Mensal</v>
      </c>
      <c r="X50" s="3">
        <f t="shared" si="13"/>
        <v>1</v>
      </c>
      <c r="Y50" s="3">
        <f t="shared" si="37"/>
        <v>1</v>
      </c>
      <c r="Z50" s="3">
        <f t="shared" si="38"/>
        <v>1</v>
      </c>
      <c r="AA50" s="3">
        <f t="shared" si="39"/>
        <v>20</v>
      </c>
      <c r="AJ50" s="5">
        <v>42</v>
      </c>
      <c r="AK50" s="130">
        <v>1.1000000000000001E-3</v>
      </c>
    </row>
    <row r="51" spans="1:37" x14ac:dyDescent="0.2">
      <c r="A51" s="76" t="str">
        <f t="shared" si="40"/>
        <v>2023</v>
      </c>
      <c r="B51" s="76" t="str">
        <f t="shared" si="41"/>
        <v>10/2023</v>
      </c>
      <c r="C51" s="55">
        <f t="shared" si="31"/>
        <v>43753</v>
      </c>
      <c r="D51" s="56">
        <f>WORKDAY((F51+14)-1,1,Feriados!$B$3:$B$626)</f>
        <v>43753</v>
      </c>
      <c r="E51" s="56">
        <f t="shared" si="23"/>
        <v>43722</v>
      </c>
      <c r="F51" s="56">
        <f t="shared" si="42"/>
        <v>43738</v>
      </c>
      <c r="G51" s="57">
        <f>VLOOKUP(F51,'Série IPCA'!$K$10:$L$997,2,FALSE)</f>
        <v>0.33147339390257446</v>
      </c>
      <c r="H51" s="58">
        <f>NETWORKDAYS(IF(C50="",D50,C50),D51,Feriados!$B$3:$B$626)-1</f>
        <v>20</v>
      </c>
      <c r="I51" s="58">
        <f>NETWORKDAYS(E51,D51,Feriados!$B$3:$B$626)-1</f>
        <v>20</v>
      </c>
      <c r="J51" s="62">
        <f t="shared" si="43"/>
        <v>1.0033147339390258</v>
      </c>
      <c r="K51" s="62">
        <f t="shared" si="32"/>
        <v>1.0014402878224715</v>
      </c>
      <c r="L51" s="62">
        <f t="shared" si="33"/>
        <v>1.0011196838688423</v>
      </c>
      <c r="M51" s="62">
        <f t="shared" si="34"/>
        <v>1.0031176046646693</v>
      </c>
      <c r="N51" s="62">
        <f t="shared" si="19"/>
        <v>1.0090207604414851</v>
      </c>
      <c r="O51" s="59">
        <f t="shared" si="35"/>
        <v>3570.72</v>
      </c>
      <c r="P51" s="59">
        <f t="shared" si="20"/>
        <v>20833.330000000002</v>
      </c>
      <c r="Q51" s="59">
        <f t="shared" si="24"/>
        <v>24404.050000000003</v>
      </c>
      <c r="R51" s="60">
        <f t="shared" si="22"/>
        <v>375000.03000000073</v>
      </c>
      <c r="S51" s="64">
        <f t="shared" si="36"/>
        <v>19</v>
      </c>
      <c r="T51" s="3">
        <f t="shared" si="28"/>
        <v>19</v>
      </c>
      <c r="U51" s="63" t="str">
        <f t="shared" si="25"/>
        <v>A</v>
      </c>
      <c r="V51" s="63" t="str">
        <f t="shared" si="29"/>
        <v>A</v>
      </c>
      <c r="W51" s="84" t="str">
        <f t="shared" si="30"/>
        <v>Mensal</v>
      </c>
      <c r="X51" s="3">
        <f t="shared" si="13"/>
        <v>1</v>
      </c>
      <c r="Y51" s="3">
        <f t="shared" si="37"/>
        <v>1</v>
      </c>
      <c r="Z51" s="3">
        <f t="shared" si="38"/>
        <v>1</v>
      </c>
      <c r="AA51" s="3">
        <f t="shared" si="39"/>
        <v>19</v>
      </c>
      <c r="AJ51" s="5">
        <v>43</v>
      </c>
      <c r="AK51" s="130">
        <v>1.1000000000000001E-3</v>
      </c>
    </row>
    <row r="52" spans="1:37" x14ac:dyDescent="0.2">
      <c r="A52" s="76" t="str">
        <f t="shared" si="40"/>
        <v>2023</v>
      </c>
      <c r="B52" s="76" t="str">
        <f t="shared" si="41"/>
        <v>11/2023</v>
      </c>
      <c r="C52" s="55">
        <f t="shared" si="31"/>
        <v>43784</v>
      </c>
      <c r="D52" s="56">
        <f>WORKDAY((F52+14)-1,1,Feriados!$B$3:$B$626)</f>
        <v>43784</v>
      </c>
      <c r="E52" s="56">
        <f t="shared" si="23"/>
        <v>43752</v>
      </c>
      <c r="F52" s="56">
        <f t="shared" si="42"/>
        <v>43769</v>
      </c>
      <c r="G52" s="57">
        <f>VLOOKUP(F52,'Série IPCA'!$K$10:$L$997,2,FALSE)</f>
        <v>0.33140801848212664</v>
      </c>
      <c r="H52" s="58">
        <f>NETWORKDAYS(IF(C51="",D51,C51),D52,Feriados!$B$3:$B$626)-1</f>
        <v>21</v>
      </c>
      <c r="I52" s="58">
        <f>NETWORKDAYS(E52,D52,Feriados!$B$3:$B$626)-1</f>
        <v>21</v>
      </c>
      <c r="J52" s="62">
        <f t="shared" si="43"/>
        <v>1.0033140801848213</v>
      </c>
      <c r="K52" s="62">
        <f t="shared" si="32"/>
        <v>1.0015123566425381</v>
      </c>
      <c r="L52" s="62">
        <f t="shared" si="33"/>
        <v>1.0011757009600362</v>
      </c>
      <c r="M52" s="62">
        <f t="shared" si="34"/>
        <v>1.0032737397821989</v>
      </c>
      <c r="N52" s="62">
        <f t="shared" si="19"/>
        <v>1.0093062544213061</v>
      </c>
      <c r="O52" s="59">
        <f t="shared" si="35"/>
        <v>3489.85</v>
      </c>
      <c r="P52" s="59">
        <f t="shared" si="20"/>
        <v>20833.34</v>
      </c>
      <c r="Q52" s="59">
        <f t="shared" si="24"/>
        <v>24323.19</v>
      </c>
      <c r="R52" s="60">
        <f t="shared" si="22"/>
        <v>354166.6900000007</v>
      </c>
      <c r="S52" s="64">
        <f t="shared" si="36"/>
        <v>18</v>
      </c>
      <c r="T52" s="3">
        <f t="shared" si="28"/>
        <v>18</v>
      </c>
      <c r="U52" s="63" t="str">
        <f t="shared" si="25"/>
        <v>A</v>
      </c>
      <c r="V52" s="63" t="str">
        <f t="shared" si="29"/>
        <v>A</v>
      </c>
      <c r="W52" s="84" t="str">
        <f t="shared" si="30"/>
        <v>Mensal</v>
      </c>
      <c r="X52" s="3">
        <f t="shared" si="13"/>
        <v>1</v>
      </c>
      <c r="Y52" s="3">
        <f t="shared" si="37"/>
        <v>1</v>
      </c>
      <c r="Z52" s="3">
        <f t="shared" si="38"/>
        <v>1</v>
      </c>
      <c r="AA52" s="3">
        <f t="shared" si="39"/>
        <v>18</v>
      </c>
      <c r="AJ52" s="5">
        <v>44</v>
      </c>
      <c r="AK52" s="130">
        <v>1.1000000000000001E-3</v>
      </c>
    </row>
    <row r="53" spans="1:37" x14ac:dyDescent="0.2">
      <c r="A53" s="76" t="str">
        <f t="shared" si="40"/>
        <v>2023</v>
      </c>
      <c r="B53" s="76" t="str">
        <f t="shared" si="41"/>
        <v>12/2023</v>
      </c>
      <c r="C53" s="55">
        <f t="shared" si="31"/>
        <v>43813</v>
      </c>
      <c r="D53" s="56">
        <f>WORKDAY((F53+14)-1,1,Feriados!$B$3:$B$626)</f>
        <v>43813</v>
      </c>
      <c r="E53" s="56">
        <f t="shared" si="23"/>
        <v>43783</v>
      </c>
      <c r="F53" s="56">
        <f t="shared" si="42"/>
        <v>43799</v>
      </c>
      <c r="G53" s="57">
        <f>VLOOKUP(F53,'Série IPCA'!$K$10:$L$997,2,FALSE)</f>
        <v>0.33135521049976097</v>
      </c>
      <c r="H53" s="58">
        <f>NETWORKDAYS(IF(C52="",D52,C52),D53,Feriados!$B$3:$B$626)-1</f>
        <v>21</v>
      </c>
      <c r="I53" s="58">
        <f>NETWORKDAYS(E53,D53,Feriados!$B$3:$B$626)-1</f>
        <v>21</v>
      </c>
      <c r="J53" s="62">
        <f t="shared" si="43"/>
        <v>1.0033135521049976</v>
      </c>
      <c r="K53" s="62">
        <f t="shared" si="32"/>
        <v>1.0015123566425381</v>
      </c>
      <c r="L53" s="62">
        <f t="shared" si="33"/>
        <v>1.0011757009600362</v>
      </c>
      <c r="M53" s="62">
        <f t="shared" si="34"/>
        <v>1.0032737397821989</v>
      </c>
      <c r="N53" s="62">
        <f t="shared" si="19"/>
        <v>1.0093057231875884</v>
      </c>
      <c r="O53" s="59">
        <f t="shared" si="35"/>
        <v>3295.78</v>
      </c>
      <c r="P53" s="59">
        <f t="shared" si="20"/>
        <v>20833.330000000002</v>
      </c>
      <c r="Q53" s="59">
        <f t="shared" si="24"/>
        <v>24129.11</v>
      </c>
      <c r="R53" s="60">
        <f t="shared" si="22"/>
        <v>333333.36000000068</v>
      </c>
      <c r="S53" s="64">
        <f t="shared" si="36"/>
        <v>17</v>
      </c>
      <c r="T53" s="3">
        <f t="shared" si="28"/>
        <v>17</v>
      </c>
      <c r="U53" s="63" t="str">
        <f t="shared" si="25"/>
        <v>A</v>
      </c>
      <c r="V53" s="63" t="str">
        <f t="shared" si="29"/>
        <v>A</v>
      </c>
      <c r="W53" s="84" t="str">
        <f t="shared" si="30"/>
        <v>Mensal</v>
      </c>
      <c r="X53" s="3">
        <f t="shared" si="13"/>
        <v>1</v>
      </c>
      <c r="Y53" s="3">
        <f t="shared" si="37"/>
        <v>1</v>
      </c>
      <c r="Z53" s="3">
        <f t="shared" si="38"/>
        <v>1</v>
      </c>
      <c r="AA53" s="3">
        <f t="shared" si="39"/>
        <v>17</v>
      </c>
      <c r="AJ53" s="5">
        <v>45</v>
      </c>
      <c r="AK53" s="130">
        <v>1.1000000000000001E-3</v>
      </c>
    </row>
    <row r="54" spans="1:37" x14ac:dyDescent="0.2">
      <c r="A54" s="76" t="str">
        <f t="shared" si="40"/>
        <v>2024</v>
      </c>
      <c r="B54" s="76" t="str">
        <f t="shared" si="41"/>
        <v>01/2024</v>
      </c>
      <c r="C54" s="55">
        <f t="shared" si="31"/>
        <v>43844</v>
      </c>
      <c r="D54" s="56">
        <f>WORKDAY((F54+14)-1,1,Feriados!$B$3:$B$626)</f>
        <v>43844</v>
      </c>
      <c r="E54" s="56">
        <f t="shared" si="23"/>
        <v>43813</v>
      </c>
      <c r="F54" s="56">
        <f t="shared" si="42"/>
        <v>43830</v>
      </c>
      <c r="G54" s="57">
        <f>VLOOKUP(F54,'Série IPCA'!$K$10:$L$997,2,FALSE)</f>
        <v>0.33132958983637062</v>
      </c>
      <c r="H54" s="58">
        <f>NETWORKDAYS(IF(C53="",D53,C53),D54,Feriados!$B$3:$B$626)-1</f>
        <v>19</v>
      </c>
      <c r="I54" s="58">
        <f>NETWORKDAYS(E54,D54,Feriados!$B$3:$B$626)-1</f>
        <v>19</v>
      </c>
      <c r="J54" s="62">
        <f t="shared" si="43"/>
        <v>1.0033132958983637</v>
      </c>
      <c r="K54" s="62">
        <f t="shared" si="32"/>
        <v>1.0013682241884765</v>
      </c>
      <c r="L54" s="62">
        <f t="shared" si="33"/>
        <v>1.0010636699118778</v>
      </c>
      <c r="M54" s="62">
        <f t="shared" si="34"/>
        <v>1.0029614938457672</v>
      </c>
      <c r="N54" s="62">
        <f t="shared" si="19"/>
        <v>1.0087332441216725</v>
      </c>
      <c r="O54" s="59">
        <f t="shared" si="35"/>
        <v>2911.08</v>
      </c>
      <c r="P54" s="59">
        <f t="shared" si="20"/>
        <v>20833.34</v>
      </c>
      <c r="Q54" s="59">
        <f t="shared" si="24"/>
        <v>23744.42</v>
      </c>
      <c r="R54" s="60">
        <f t="shared" si="22"/>
        <v>312500.02000000066</v>
      </c>
      <c r="S54" s="64">
        <f t="shared" si="36"/>
        <v>16</v>
      </c>
      <c r="T54" s="3">
        <f t="shared" si="28"/>
        <v>16</v>
      </c>
      <c r="U54" s="63" t="str">
        <f t="shared" si="25"/>
        <v>A</v>
      </c>
      <c r="V54" s="63" t="str">
        <f t="shared" si="29"/>
        <v>A</v>
      </c>
      <c r="W54" s="84" t="str">
        <f t="shared" si="30"/>
        <v>Mensal</v>
      </c>
      <c r="X54" s="3">
        <f t="shared" si="13"/>
        <v>1</v>
      </c>
      <c r="Y54" s="3">
        <f t="shared" si="37"/>
        <v>1</v>
      </c>
      <c r="Z54" s="3">
        <f t="shared" si="38"/>
        <v>1</v>
      </c>
      <c r="AA54" s="3">
        <f t="shared" si="39"/>
        <v>16</v>
      </c>
      <c r="AJ54" s="5">
        <v>46</v>
      </c>
      <c r="AK54" s="130">
        <v>1.1000000000000001E-3</v>
      </c>
    </row>
    <row r="55" spans="1:37" x14ac:dyDescent="0.2">
      <c r="A55" s="76" t="str">
        <f t="shared" si="40"/>
        <v>2024</v>
      </c>
      <c r="B55" s="76" t="str">
        <f t="shared" si="41"/>
        <v>02/2024</v>
      </c>
      <c r="C55" s="55">
        <f t="shared" si="31"/>
        <v>43875</v>
      </c>
      <c r="D55" s="56">
        <f>WORKDAY((F55+14)-1,1,Feriados!$B$3:$B$626)</f>
        <v>43875</v>
      </c>
      <c r="E55" s="56">
        <f t="shared" si="23"/>
        <v>43844</v>
      </c>
      <c r="F55" s="56">
        <f t="shared" si="42"/>
        <v>43861</v>
      </c>
      <c r="G55" s="57">
        <f>VLOOKUP(F55,'Série IPCA'!$K$10:$L$997,2,FALSE)</f>
        <v>0.3313392940684578</v>
      </c>
      <c r="H55" s="58">
        <f>NETWORKDAYS(IF(C54="",D54,C54),D55,Feriados!$B$3:$B$626)-1</f>
        <v>21</v>
      </c>
      <c r="I55" s="58">
        <f>NETWORKDAYS(E55,D55,Feriados!$B$3:$B$626)-1</f>
        <v>21</v>
      </c>
      <c r="J55" s="62">
        <f t="shared" si="43"/>
        <v>1.0033133929406846</v>
      </c>
      <c r="K55" s="62">
        <f t="shared" si="32"/>
        <v>1.0015123566425381</v>
      </c>
      <c r="L55" s="62">
        <f t="shared" si="33"/>
        <v>1.0011757009600362</v>
      </c>
      <c r="M55" s="62">
        <f t="shared" si="34"/>
        <v>1.0032737397821989</v>
      </c>
      <c r="N55" s="62">
        <f t="shared" si="19"/>
        <v>1.0093055630726855</v>
      </c>
      <c r="O55" s="59">
        <f t="shared" si="35"/>
        <v>2907.99</v>
      </c>
      <c r="P55" s="59">
        <f t="shared" si="20"/>
        <v>20833.330000000002</v>
      </c>
      <c r="Q55" s="59">
        <f t="shared" si="24"/>
        <v>23741.32</v>
      </c>
      <c r="R55" s="60">
        <f t="shared" si="22"/>
        <v>291666.69000000064</v>
      </c>
      <c r="S55" s="64">
        <f t="shared" si="36"/>
        <v>15</v>
      </c>
      <c r="T55" s="3">
        <f t="shared" si="28"/>
        <v>15</v>
      </c>
      <c r="U55" s="63" t="str">
        <f t="shared" si="25"/>
        <v>A</v>
      </c>
      <c r="V55" s="63" t="str">
        <f t="shared" si="29"/>
        <v>A</v>
      </c>
      <c r="W55" s="84" t="str">
        <f t="shared" si="30"/>
        <v>Mensal</v>
      </c>
      <c r="X55" s="3">
        <f t="shared" si="13"/>
        <v>1</v>
      </c>
      <c r="Y55" s="3">
        <f t="shared" si="37"/>
        <v>1</v>
      </c>
      <c r="Z55" s="3">
        <f t="shared" si="38"/>
        <v>1</v>
      </c>
      <c r="AA55" s="3">
        <f t="shared" si="39"/>
        <v>15</v>
      </c>
      <c r="AJ55" s="5">
        <v>47</v>
      </c>
      <c r="AK55" s="130">
        <v>1.1000000000000001E-3</v>
      </c>
    </row>
    <row r="56" spans="1:37" x14ac:dyDescent="0.2">
      <c r="A56" s="76" t="str">
        <f t="shared" si="40"/>
        <v>2024</v>
      </c>
      <c r="B56" s="76" t="str">
        <f t="shared" si="41"/>
        <v>03/2024</v>
      </c>
      <c r="C56" s="55">
        <f t="shared" si="31"/>
        <v>43904</v>
      </c>
      <c r="D56" s="56">
        <f>WORKDAY((F56+14)-1,1,Feriados!$B$3:$B$626)</f>
        <v>43904</v>
      </c>
      <c r="E56" s="56">
        <f t="shared" si="23"/>
        <v>43875</v>
      </c>
      <c r="F56" s="56">
        <f t="shared" si="42"/>
        <v>43890</v>
      </c>
      <c r="G56" s="57">
        <f>VLOOKUP(F56,'Série IPCA'!$K$10:$L$997,2,FALSE)</f>
        <v>0.33137600698604508</v>
      </c>
      <c r="H56" s="58">
        <f>NETWORKDAYS(IF(C55="",D55,C55),D56,Feriados!$B$3:$B$626)-1</f>
        <v>21</v>
      </c>
      <c r="I56" s="58">
        <f>NETWORKDAYS(E56,D56,Feriados!$B$3:$B$626)-1</f>
        <v>21</v>
      </c>
      <c r="J56" s="62">
        <f t="shared" si="43"/>
        <v>1.0033137600698605</v>
      </c>
      <c r="K56" s="62">
        <f t="shared" si="32"/>
        <v>1.0015123566425381</v>
      </c>
      <c r="L56" s="62">
        <f t="shared" si="33"/>
        <v>1.0011757009600362</v>
      </c>
      <c r="M56" s="62">
        <f t="shared" si="34"/>
        <v>1.0032737397821989</v>
      </c>
      <c r="N56" s="62">
        <f t="shared" si="19"/>
        <v>1.0093059323944966</v>
      </c>
      <c r="O56" s="59">
        <f t="shared" si="35"/>
        <v>2714.23</v>
      </c>
      <c r="P56" s="59">
        <f t="shared" si="20"/>
        <v>20833.34</v>
      </c>
      <c r="Q56" s="59">
        <f t="shared" si="24"/>
        <v>23547.57</v>
      </c>
      <c r="R56" s="60">
        <f t="shared" si="22"/>
        <v>270833.35000000062</v>
      </c>
      <c r="S56" s="64">
        <f t="shared" si="36"/>
        <v>14</v>
      </c>
      <c r="T56" s="3">
        <f t="shared" si="28"/>
        <v>14</v>
      </c>
      <c r="U56" s="63" t="str">
        <f t="shared" si="25"/>
        <v>A</v>
      </c>
      <c r="V56" s="63" t="str">
        <f t="shared" si="29"/>
        <v>A</v>
      </c>
      <c r="W56" s="84" t="str">
        <f t="shared" si="30"/>
        <v>Mensal</v>
      </c>
      <c r="X56" s="3">
        <f t="shared" si="13"/>
        <v>1</v>
      </c>
      <c r="Y56" s="3">
        <f t="shared" si="37"/>
        <v>1</v>
      </c>
      <c r="Z56" s="3">
        <f t="shared" si="38"/>
        <v>1</v>
      </c>
      <c r="AA56" s="3">
        <f t="shared" si="39"/>
        <v>14</v>
      </c>
      <c r="AJ56" s="5">
        <v>48</v>
      </c>
      <c r="AK56" s="130">
        <v>1.1000000000000001E-3</v>
      </c>
    </row>
    <row r="57" spans="1:37" x14ac:dyDescent="0.2">
      <c r="A57" s="76" t="str">
        <f t="shared" si="40"/>
        <v>2024</v>
      </c>
      <c r="B57" s="76" t="str">
        <f t="shared" si="41"/>
        <v>04/2024</v>
      </c>
      <c r="C57" s="55">
        <f t="shared" si="31"/>
        <v>43935</v>
      </c>
      <c r="D57" s="56">
        <f>WORKDAY((F57+14)-1,1,Feriados!$B$3:$B$626)</f>
        <v>43935</v>
      </c>
      <c r="E57" s="56">
        <f t="shared" si="23"/>
        <v>43904</v>
      </c>
      <c r="F57" s="56">
        <f t="shared" si="42"/>
        <v>43921</v>
      </c>
      <c r="G57" s="57">
        <f>VLOOKUP(F57,'Série IPCA'!$K$10:$L$997,2,FALSE)</f>
        <v>0.33141595195499374</v>
      </c>
      <c r="H57" s="58">
        <f>NETWORKDAYS(IF(C56="",D56,C56),D57,Feriados!$B$3:$B$626)-1</f>
        <v>20</v>
      </c>
      <c r="I57" s="58">
        <f>NETWORKDAYS(E57,D57,Feriados!$B$3:$B$626)-1</f>
        <v>20</v>
      </c>
      <c r="J57" s="62">
        <f t="shared" si="43"/>
        <v>1.0033141595195498</v>
      </c>
      <c r="K57" s="62">
        <f t="shared" si="32"/>
        <v>1.0014402878224715</v>
      </c>
      <c r="L57" s="62">
        <f t="shared" si="33"/>
        <v>1.0011196838688423</v>
      </c>
      <c r="M57" s="62">
        <f t="shared" si="34"/>
        <v>1.0031176046646693</v>
      </c>
      <c r="N57" s="62">
        <f t="shared" si="19"/>
        <v>1.009020182755185</v>
      </c>
      <c r="O57" s="59">
        <f t="shared" si="35"/>
        <v>2442.9699999999998</v>
      </c>
      <c r="P57" s="59">
        <f t="shared" si="20"/>
        <v>20833.330000000002</v>
      </c>
      <c r="Q57" s="59">
        <f t="shared" si="24"/>
        <v>23276.300000000003</v>
      </c>
      <c r="R57" s="60">
        <f t="shared" si="22"/>
        <v>250000.0200000006</v>
      </c>
      <c r="S57" s="64">
        <f t="shared" si="36"/>
        <v>13</v>
      </c>
      <c r="T57" s="3">
        <f t="shared" si="28"/>
        <v>13</v>
      </c>
      <c r="U57" s="63" t="str">
        <f t="shared" si="25"/>
        <v>A</v>
      </c>
      <c r="V57" s="63" t="str">
        <f t="shared" si="29"/>
        <v>A</v>
      </c>
      <c r="W57" s="84" t="str">
        <f t="shared" si="30"/>
        <v>Mensal</v>
      </c>
      <c r="X57" s="3">
        <f t="shared" si="13"/>
        <v>1</v>
      </c>
      <c r="Y57" s="3">
        <f t="shared" si="37"/>
        <v>1</v>
      </c>
      <c r="Z57" s="3">
        <f t="shared" si="38"/>
        <v>1</v>
      </c>
      <c r="AA57" s="3">
        <f t="shared" si="39"/>
        <v>13</v>
      </c>
      <c r="AJ57" s="5">
        <v>49</v>
      </c>
      <c r="AK57" s="130">
        <v>1.1000000000000001E-3</v>
      </c>
    </row>
    <row r="58" spans="1:37" x14ac:dyDescent="0.2">
      <c r="A58" s="76" t="str">
        <f t="shared" si="40"/>
        <v>2024</v>
      </c>
      <c r="B58" s="76" t="str">
        <f t="shared" si="41"/>
        <v>05/2024</v>
      </c>
      <c r="C58" s="55">
        <f t="shared" si="31"/>
        <v>43965</v>
      </c>
      <c r="D58" s="56">
        <f>WORKDAY((F58+14)-1,1,Feriados!$B$3:$B$626)</f>
        <v>43965</v>
      </c>
      <c r="E58" s="56">
        <f t="shared" si="23"/>
        <v>43935</v>
      </c>
      <c r="F58" s="56">
        <f t="shared" si="42"/>
        <v>43951</v>
      </c>
      <c r="G58" s="57">
        <f>VLOOKUP(F58,'Série IPCA'!$K$10:$L$997,2,FALSE)</f>
        <v>0.33143494033373205</v>
      </c>
      <c r="H58" s="58">
        <f>NETWORKDAYS(IF(C57="",D57,C57),D58,Feriados!$B$3:$B$626)-1</f>
        <v>21</v>
      </c>
      <c r="I58" s="58">
        <f>NETWORKDAYS(E58,D58,Feriados!$B$3:$B$626)-1</f>
        <v>21</v>
      </c>
      <c r="J58" s="62">
        <f t="shared" si="43"/>
        <v>1.0033143494033374</v>
      </c>
      <c r="K58" s="62">
        <f t="shared" si="32"/>
        <v>1.0015123566425381</v>
      </c>
      <c r="L58" s="62">
        <f t="shared" si="33"/>
        <v>1.0011757009600362</v>
      </c>
      <c r="M58" s="62">
        <f t="shared" si="34"/>
        <v>1.0032737397821989</v>
      </c>
      <c r="N58" s="62">
        <f t="shared" si="19"/>
        <v>1.0093065252476976</v>
      </c>
      <c r="O58" s="59">
        <f t="shared" si="35"/>
        <v>2326.63</v>
      </c>
      <c r="P58" s="59">
        <f t="shared" si="20"/>
        <v>20833.34</v>
      </c>
      <c r="Q58" s="59">
        <f t="shared" si="24"/>
        <v>23159.97</v>
      </c>
      <c r="R58" s="60">
        <f t="shared" si="22"/>
        <v>229166.6800000006</v>
      </c>
      <c r="S58" s="64">
        <f t="shared" si="36"/>
        <v>12</v>
      </c>
      <c r="T58" s="3">
        <f t="shared" si="28"/>
        <v>12</v>
      </c>
      <c r="U58" s="63" t="str">
        <f t="shared" si="25"/>
        <v>A</v>
      </c>
      <c r="V58" s="63" t="str">
        <f t="shared" si="29"/>
        <v>A</v>
      </c>
      <c r="W58" s="84" t="str">
        <f t="shared" si="30"/>
        <v>Mensal</v>
      </c>
      <c r="X58" s="3">
        <f t="shared" si="13"/>
        <v>1</v>
      </c>
      <c r="Y58" s="3">
        <f t="shared" si="37"/>
        <v>1</v>
      </c>
      <c r="Z58" s="3">
        <f t="shared" si="38"/>
        <v>1</v>
      </c>
      <c r="AA58" s="3">
        <f t="shared" si="39"/>
        <v>12</v>
      </c>
      <c r="AJ58" s="5">
        <v>50</v>
      </c>
      <c r="AK58" s="130">
        <v>1.1000000000000001E-3</v>
      </c>
    </row>
    <row r="59" spans="1:37" x14ac:dyDescent="0.2">
      <c r="A59" s="76" t="str">
        <f t="shared" si="40"/>
        <v>2024</v>
      </c>
      <c r="B59" s="76" t="str">
        <f t="shared" si="41"/>
        <v>06/2024</v>
      </c>
      <c r="C59" s="55">
        <f t="shared" si="31"/>
        <v>43998</v>
      </c>
      <c r="D59" s="56">
        <f>WORKDAY((F59+14)-1,1,Feriados!$B$3:$B$626)</f>
        <v>43998</v>
      </c>
      <c r="E59" s="56">
        <f t="shared" si="23"/>
        <v>43965</v>
      </c>
      <c r="F59" s="56">
        <f t="shared" si="42"/>
        <v>43982</v>
      </c>
      <c r="G59" s="57">
        <f>VLOOKUP(F59,'Série IPCA'!$K$10:$L$997,2,FALSE)</f>
        <v>0.33144015108017993</v>
      </c>
      <c r="H59" s="58">
        <f>NETWORKDAYS(IF(C58="",D58,C58),D59,Feriados!$B$3:$B$626)-1</f>
        <v>22</v>
      </c>
      <c r="I59" s="58">
        <f>NETWORKDAYS(E59,D59,Feriados!$B$3:$B$626)-1</f>
        <v>22</v>
      </c>
      <c r="J59" s="62">
        <f t="shared" si="43"/>
        <v>1.0033144015108018</v>
      </c>
      <c r="K59" s="62">
        <f t="shared" si="32"/>
        <v>1.0015844306490498</v>
      </c>
      <c r="L59" s="62">
        <f t="shared" si="33"/>
        <v>1.0012317211856352</v>
      </c>
      <c r="M59" s="62">
        <f t="shared" si="34"/>
        <v>1.0034298992021382</v>
      </c>
      <c r="N59" s="62">
        <f t="shared" si="19"/>
        <v>1.0095928103607446</v>
      </c>
      <c r="O59" s="59">
        <f t="shared" si="35"/>
        <v>2198.35</v>
      </c>
      <c r="P59" s="59">
        <f t="shared" si="20"/>
        <v>20833.330000000002</v>
      </c>
      <c r="Q59" s="59">
        <f t="shared" si="24"/>
        <v>23031.68</v>
      </c>
      <c r="R59" s="60">
        <f t="shared" si="22"/>
        <v>208333.35000000062</v>
      </c>
      <c r="S59" s="64">
        <f t="shared" si="36"/>
        <v>11</v>
      </c>
      <c r="T59" s="3">
        <f t="shared" si="28"/>
        <v>11</v>
      </c>
      <c r="U59" s="63" t="str">
        <f t="shared" si="25"/>
        <v>A</v>
      </c>
      <c r="V59" s="63" t="str">
        <f t="shared" si="29"/>
        <v>A</v>
      </c>
      <c r="W59" s="84" t="str">
        <f t="shared" si="30"/>
        <v>Mensal</v>
      </c>
      <c r="X59" s="3">
        <f t="shared" si="13"/>
        <v>1</v>
      </c>
      <c r="Y59" s="3">
        <f t="shared" si="37"/>
        <v>1</v>
      </c>
      <c r="Z59" s="3">
        <f t="shared" si="38"/>
        <v>1</v>
      </c>
      <c r="AA59" s="3">
        <f t="shared" si="39"/>
        <v>11</v>
      </c>
      <c r="AJ59" s="5">
        <v>51</v>
      </c>
      <c r="AK59" s="130">
        <v>1.1000000000000001E-3</v>
      </c>
    </row>
    <row r="60" spans="1:37" x14ac:dyDescent="0.2">
      <c r="A60" s="76" t="str">
        <f t="shared" si="40"/>
        <v>2024</v>
      </c>
      <c r="B60" s="76" t="str">
        <f t="shared" si="41"/>
        <v>07/2024</v>
      </c>
      <c r="C60" s="55">
        <f t="shared" si="31"/>
        <v>44026</v>
      </c>
      <c r="D60" s="56">
        <f>WORKDAY((F60+14)-1,1,Feriados!$B$3:$B$626)</f>
        <v>44026</v>
      </c>
      <c r="E60" s="56">
        <f t="shared" si="23"/>
        <v>43996</v>
      </c>
      <c r="F60" s="56">
        <f t="shared" si="42"/>
        <v>44012</v>
      </c>
      <c r="G60" s="57">
        <f>VLOOKUP(F60,'Série IPCA'!$K$10:$L$997,2,FALSE)</f>
        <v>0.33143626839929635</v>
      </c>
      <c r="H60" s="58">
        <f>NETWORKDAYS(IF(C59="",D59,C59),D60,Feriados!$B$3:$B$626)-1</f>
        <v>20</v>
      </c>
      <c r="I60" s="58">
        <f>NETWORKDAYS(E60,D60,Feriados!$B$3:$B$626)-1</f>
        <v>20</v>
      </c>
      <c r="J60" s="62">
        <f t="shared" si="43"/>
        <v>1.0033143626839929</v>
      </c>
      <c r="K60" s="62">
        <f t="shared" si="32"/>
        <v>1.0014402878224715</v>
      </c>
      <c r="L60" s="62">
        <f t="shared" si="33"/>
        <v>1.0011196838688423</v>
      </c>
      <c r="M60" s="62">
        <f t="shared" si="34"/>
        <v>1.0031176046646693</v>
      </c>
      <c r="N60" s="62">
        <f t="shared" si="19"/>
        <v>1.0090203870750598</v>
      </c>
      <c r="O60" s="59">
        <f t="shared" si="35"/>
        <v>1879.25</v>
      </c>
      <c r="P60" s="59">
        <f t="shared" si="20"/>
        <v>20833.34</v>
      </c>
      <c r="Q60" s="59">
        <f t="shared" si="24"/>
        <v>22712.59</v>
      </c>
      <c r="R60" s="60">
        <f t="shared" si="22"/>
        <v>187500.01000000062</v>
      </c>
      <c r="S60" s="64">
        <f t="shared" si="36"/>
        <v>10</v>
      </c>
      <c r="T60" s="3">
        <f t="shared" si="28"/>
        <v>10</v>
      </c>
      <c r="U60" s="63" t="str">
        <f t="shared" si="25"/>
        <v>A</v>
      </c>
      <c r="V60" s="63" t="str">
        <f t="shared" si="29"/>
        <v>A</v>
      </c>
      <c r="W60" s="84" t="str">
        <f t="shared" si="30"/>
        <v>Mensal</v>
      </c>
      <c r="X60" s="3">
        <f t="shared" si="13"/>
        <v>1</v>
      </c>
      <c r="Y60" s="3">
        <f t="shared" si="37"/>
        <v>1</v>
      </c>
      <c r="Z60" s="3">
        <f t="shared" si="38"/>
        <v>1</v>
      </c>
      <c r="AA60" s="3">
        <f t="shared" si="39"/>
        <v>10</v>
      </c>
      <c r="AJ60" s="5">
        <v>52</v>
      </c>
      <c r="AK60" s="130">
        <v>1E-3</v>
      </c>
    </row>
    <row r="61" spans="1:37" x14ac:dyDescent="0.2">
      <c r="A61" s="76" t="str">
        <f t="shared" si="40"/>
        <v>2024</v>
      </c>
      <c r="B61" s="76" t="str">
        <f t="shared" si="41"/>
        <v>08/2024</v>
      </c>
      <c r="C61" s="55">
        <f t="shared" si="31"/>
        <v>44057</v>
      </c>
      <c r="D61" s="56">
        <f>WORKDAY((F61+14)-1,1,Feriados!$B$3:$B$626)</f>
        <v>44057</v>
      </c>
      <c r="E61" s="56">
        <f t="shared" si="23"/>
        <v>44026</v>
      </c>
      <c r="F61" s="56">
        <f t="shared" si="42"/>
        <v>44043</v>
      </c>
      <c r="G61" s="57">
        <f>VLOOKUP(F61,'Série IPCA'!$K$10:$L$997,2,FALSE)</f>
        <v>0.33142622961087459</v>
      </c>
      <c r="H61" s="58">
        <f>NETWORKDAYS(IF(C60="",D60,C60),D61,Feriados!$B$3:$B$626)-1</f>
        <v>23</v>
      </c>
      <c r="I61" s="58">
        <f>NETWORKDAYS(E61,D61,Feriados!$B$3:$B$626)-1</f>
        <v>23</v>
      </c>
      <c r="J61" s="62">
        <f t="shared" si="43"/>
        <v>1.0033142622961086</v>
      </c>
      <c r="K61" s="62">
        <f t="shared" si="32"/>
        <v>1.0016565098423793</v>
      </c>
      <c r="L61" s="62">
        <f t="shared" si="33"/>
        <v>1.0012877445458146</v>
      </c>
      <c r="M61" s="62">
        <f t="shared" si="34"/>
        <v>1.0035860829282697</v>
      </c>
      <c r="N61" s="62">
        <f t="shared" si="19"/>
        <v>1.0098789841032469</v>
      </c>
      <c r="O61" s="59">
        <f t="shared" si="35"/>
        <v>1852.31</v>
      </c>
      <c r="P61" s="59">
        <f t="shared" si="20"/>
        <v>20833.330000000002</v>
      </c>
      <c r="Q61" s="59">
        <f t="shared" si="24"/>
        <v>22685.640000000003</v>
      </c>
      <c r="R61" s="60">
        <f t="shared" si="22"/>
        <v>166666.68000000063</v>
      </c>
      <c r="S61" s="64">
        <f t="shared" si="36"/>
        <v>9</v>
      </c>
      <c r="T61" s="3">
        <f t="shared" si="28"/>
        <v>9</v>
      </c>
      <c r="U61" s="63" t="str">
        <f t="shared" si="25"/>
        <v>A</v>
      </c>
      <c r="V61" s="63" t="str">
        <f t="shared" si="29"/>
        <v>A</v>
      </c>
      <c r="W61" s="84" t="str">
        <f t="shared" si="30"/>
        <v>Mensal</v>
      </c>
      <c r="X61" s="3">
        <f t="shared" si="13"/>
        <v>1</v>
      </c>
      <c r="Y61" s="3">
        <f t="shared" si="37"/>
        <v>1</v>
      </c>
      <c r="Z61" s="3">
        <f t="shared" si="38"/>
        <v>1</v>
      </c>
      <c r="AA61" s="3">
        <f t="shared" si="39"/>
        <v>9</v>
      </c>
      <c r="AJ61" s="5">
        <v>53</v>
      </c>
      <c r="AK61" s="130">
        <v>1E-3</v>
      </c>
    </row>
    <row r="62" spans="1:37" x14ac:dyDescent="0.2">
      <c r="A62" s="76" t="str">
        <f t="shared" si="40"/>
        <v>2024</v>
      </c>
      <c r="B62" s="76" t="str">
        <f t="shared" si="41"/>
        <v>09/2024</v>
      </c>
      <c r="C62" s="55">
        <f t="shared" si="31"/>
        <v>44089</v>
      </c>
      <c r="D62" s="56">
        <f>WORKDAY((F62+14)-1,1,Feriados!$B$3:$B$626)</f>
        <v>44089</v>
      </c>
      <c r="E62" s="56">
        <f t="shared" si="23"/>
        <v>44057</v>
      </c>
      <c r="F62" s="56">
        <f t="shared" si="42"/>
        <v>44074</v>
      </c>
      <c r="G62" s="57">
        <f>VLOOKUP(F62,'Série IPCA'!$K$10:$L$997,2,FALSE)</f>
        <v>0.33141419252006932</v>
      </c>
      <c r="H62" s="58">
        <f>NETWORKDAYS(IF(C61="",D61,C61),D62,Feriados!$B$3:$B$626)-1</f>
        <v>22</v>
      </c>
      <c r="I62" s="58">
        <f>NETWORKDAYS(E62,D62,Feriados!$B$3:$B$626)-1</f>
        <v>22</v>
      </c>
      <c r="J62" s="62">
        <f t="shared" si="43"/>
        <v>1.0033141419252007</v>
      </c>
      <c r="K62" s="62">
        <f t="shared" si="32"/>
        <v>1.0015844306490498</v>
      </c>
      <c r="L62" s="62">
        <f t="shared" si="33"/>
        <v>1.0012317211856352</v>
      </c>
      <c r="M62" s="62">
        <f t="shared" si="34"/>
        <v>1.0034298992021382</v>
      </c>
      <c r="N62" s="62">
        <f t="shared" si="19"/>
        <v>1.0095925491507429</v>
      </c>
      <c r="O62" s="59">
        <f t="shared" si="35"/>
        <v>1598.76</v>
      </c>
      <c r="P62" s="59">
        <f t="shared" si="20"/>
        <v>20833.34</v>
      </c>
      <c r="Q62" s="59">
        <f t="shared" si="24"/>
        <v>22432.1</v>
      </c>
      <c r="R62" s="60">
        <f t="shared" si="22"/>
        <v>145833.34000000064</v>
      </c>
      <c r="S62" s="64">
        <f t="shared" si="36"/>
        <v>8</v>
      </c>
      <c r="T62" s="3">
        <f t="shared" si="28"/>
        <v>8</v>
      </c>
      <c r="U62" s="63" t="str">
        <f t="shared" si="25"/>
        <v>A</v>
      </c>
      <c r="V62" s="63" t="str">
        <f t="shared" si="29"/>
        <v>A</v>
      </c>
      <c r="W62" s="84" t="str">
        <f t="shared" si="30"/>
        <v>Mensal</v>
      </c>
      <c r="X62" s="3">
        <f t="shared" si="13"/>
        <v>1</v>
      </c>
      <c r="Y62" s="3">
        <f t="shared" si="37"/>
        <v>1</v>
      </c>
      <c r="Z62" s="3">
        <f t="shared" si="38"/>
        <v>1</v>
      </c>
      <c r="AA62" s="3">
        <f t="shared" si="39"/>
        <v>8</v>
      </c>
      <c r="AJ62" s="5">
        <v>54</v>
      </c>
      <c r="AK62" s="130">
        <v>1E-3</v>
      </c>
    </row>
    <row r="63" spans="1:37" x14ac:dyDescent="0.2">
      <c r="A63" s="76" t="str">
        <f t="shared" si="40"/>
        <v>2024</v>
      </c>
      <c r="B63" s="76" t="str">
        <f t="shared" si="41"/>
        <v>10/2024</v>
      </c>
      <c r="C63" s="55">
        <f t="shared" si="31"/>
        <v>44118</v>
      </c>
      <c r="D63" s="56">
        <f>WORKDAY((F63+14)-1,1,Feriados!$B$3:$B$626)</f>
        <v>44118</v>
      </c>
      <c r="E63" s="56">
        <f t="shared" si="23"/>
        <v>44088</v>
      </c>
      <c r="F63" s="56">
        <f t="shared" si="42"/>
        <v>44104</v>
      </c>
      <c r="G63" s="57">
        <f>VLOOKUP(F63,'Série IPCA'!$K$10:$L$997,2,FALSE)</f>
        <v>0.33140410397287351</v>
      </c>
      <c r="H63" s="58">
        <f>NETWORKDAYS(IF(C62="",D62,C62),D63,Feriados!$B$3:$B$626)-1</f>
        <v>21</v>
      </c>
      <c r="I63" s="58">
        <f>NETWORKDAYS(E63,D63,Feriados!$B$3:$B$626)-1</f>
        <v>21</v>
      </c>
      <c r="J63" s="62">
        <f t="shared" si="43"/>
        <v>1.0033140410397288</v>
      </c>
      <c r="K63" s="62">
        <f t="shared" si="32"/>
        <v>1.0015123566425381</v>
      </c>
      <c r="L63" s="62">
        <f t="shared" si="33"/>
        <v>1.0011757009600362</v>
      </c>
      <c r="M63" s="62">
        <f t="shared" si="34"/>
        <v>1.0032737397821989</v>
      </c>
      <c r="N63" s="62">
        <f t="shared" si="19"/>
        <v>1.0093062150424243</v>
      </c>
      <c r="O63" s="59">
        <f t="shared" si="35"/>
        <v>1357.16</v>
      </c>
      <c r="P63" s="59">
        <f t="shared" si="20"/>
        <v>20833.330000000002</v>
      </c>
      <c r="Q63" s="59">
        <f t="shared" si="24"/>
        <v>22190.49</v>
      </c>
      <c r="R63" s="60">
        <f t="shared" si="22"/>
        <v>125000.01000000064</v>
      </c>
      <c r="S63" s="64">
        <f t="shared" si="36"/>
        <v>7</v>
      </c>
      <c r="T63" s="3">
        <f t="shared" si="28"/>
        <v>7</v>
      </c>
      <c r="U63" s="63" t="str">
        <f t="shared" si="25"/>
        <v>A</v>
      </c>
      <c r="V63" s="63" t="str">
        <f t="shared" si="29"/>
        <v>A</v>
      </c>
      <c r="W63" s="84" t="str">
        <f t="shared" si="30"/>
        <v>Mensal</v>
      </c>
      <c r="X63" s="3">
        <f t="shared" si="13"/>
        <v>1</v>
      </c>
      <c r="Y63" s="3">
        <f t="shared" si="37"/>
        <v>1</v>
      </c>
      <c r="Z63" s="3">
        <f t="shared" si="38"/>
        <v>1</v>
      </c>
      <c r="AA63" s="3">
        <f t="shared" si="39"/>
        <v>7</v>
      </c>
      <c r="AJ63" s="5">
        <v>55</v>
      </c>
      <c r="AK63" s="130">
        <v>1E-3</v>
      </c>
    </row>
    <row r="64" spans="1:37" x14ac:dyDescent="0.2">
      <c r="A64" s="76" t="str">
        <f t="shared" si="40"/>
        <v>2024</v>
      </c>
      <c r="B64" s="76" t="str">
        <f t="shared" si="41"/>
        <v>11/2024</v>
      </c>
      <c r="C64" s="55">
        <f t="shared" si="31"/>
        <v>44152</v>
      </c>
      <c r="D64" s="56">
        <f>WORKDAY((F64+14)-1,1,Feriados!$B$3:$B$626)</f>
        <v>44152</v>
      </c>
      <c r="E64" s="56">
        <f t="shared" si="23"/>
        <v>44118</v>
      </c>
      <c r="F64" s="56">
        <f t="shared" si="42"/>
        <v>44135</v>
      </c>
      <c r="G64" s="57">
        <f>VLOOKUP(F64,'Série IPCA'!$K$10:$L$997,2,FALSE)</f>
        <v>0.33139832981206507</v>
      </c>
      <c r="H64" s="58">
        <f>NETWORKDAYS(IF(C63="",D63,C63),D64,Feriados!$B$3:$B$626)-1</f>
        <v>23</v>
      </c>
      <c r="I64" s="58">
        <f>NETWORKDAYS(E64,D64,Feriados!$B$3:$B$626)-1</f>
        <v>23</v>
      </c>
      <c r="J64" s="62">
        <f t="shared" si="43"/>
        <v>1.0033139832981206</v>
      </c>
      <c r="K64" s="62">
        <f t="shared" si="32"/>
        <v>1.0016565098423793</v>
      </c>
      <c r="L64" s="62">
        <f t="shared" si="33"/>
        <v>1.0012877445458146</v>
      </c>
      <c r="M64" s="62">
        <f t="shared" si="34"/>
        <v>1.0035860829282697</v>
      </c>
      <c r="N64" s="62">
        <f t="shared" si="19"/>
        <v>1.0098787032797649</v>
      </c>
      <c r="O64" s="59">
        <f t="shared" si="35"/>
        <v>1234.8399999999999</v>
      </c>
      <c r="P64" s="59">
        <f t="shared" si="20"/>
        <v>20833.34</v>
      </c>
      <c r="Q64" s="59">
        <f t="shared" si="24"/>
        <v>22068.18</v>
      </c>
      <c r="R64" s="60">
        <f t="shared" si="22"/>
        <v>104166.67000000064</v>
      </c>
      <c r="S64" s="64">
        <f t="shared" si="36"/>
        <v>6</v>
      </c>
      <c r="T64" s="3">
        <f t="shared" si="28"/>
        <v>6</v>
      </c>
      <c r="U64" s="63" t="str">
        <f t="shared" si="25"/>
        <v>A</v>
      </c>
      <c r="V64" s="63" t="str">
        <f t="shared" si="29"/>
        <v>A</v>
      </c>
      <c r="W64" s="84" t="str">
        <f t="shared" si="30"/>
        <v>Mensal</v>
      </c>
      <c r="X64" s="3">
        <f t="shared" si="13"/>
        <v>1</v>
      </c>
      <c r="Y64" s="3">
        <f t="shared" si="37"/>
        <v>1</v>
      </c>
      <c r="Z64" s="3">
        <f t="shared" si="38"/>
        <v>1</v>
      </c>
      <c r="AA64" s="3">
        <f t="shared" si="39"/>
        <v>6</v>
      </c>
      <c r="AJ64" s="5">
        <v>56</v>
      </c>
      <c r="AK64" s="130">
        <v>1E-3</v>
      </c>
    </row>
    <row r="65" spans="1:37" x14ac:dyDescent="0.2">
      <c r="A65" s="76" t="str">
        <f t="shared" si="40"/>
        <v>2024</v>
      </c>
      <c r="B65" s="76" t="str">
        <f t="shared" si="41"/>
        <v>12/2024</v>
      </c>
      <c r="C65" s="55">
        <f t="shared" si="31"/>
        <v>44180</v>
      </c>
      <c r="D65" s="56">
        <f>WORKDAY((F65+14)-1,1,Feriados!$B$3:$B$626)</f>
        <v>44180</v>
      </c>
      <c r="E65" s="56">
        <f t="shared" si="23"/>
        <v>44149</v>
      </c>
      <c r="F65" s="56">
        <f t="shared" si="42"/>
        <v>44165</v>
      </c>
      <c r="G65" s="57">
        <f>VLOOKUP(F65,'Série IPCA'!$K$10:$L$997,2,FALSE)</f>
        <v>0.33139752242289328</v>
      </c>
      <c r="H65" s="58">
        <f>NETWORKDAYS(IF(C64="",D64,C64),D65,Feriados!$B$3:$B$626)-1</f>
        <v>20</v>
      </c>
      <c r="I65" s="58">
        <f>NETWORKDAYS(E65,D65,Feriados!$B$3:$B$626)-1</f>
        <v>20</v>
      </c>
      <c r="J65" s="62">
        <f t="shared" si="43"/>
        <v>1.0033139752242288</v>
      </c>
      <c r="K65" s="62">
        <f t="shared" si="32"/>
        <v>1.0014402878224715</v>
      </c>
      <c r="L65" s="62">
        <f t="shared" si="33"/>
        <v>1.0011196838688423</v>
      </c>
      <c r="M65" s="62">
        <f t="shared" si="34"/>
        <v>1.0031176046646693</v>
      </c>
      <c r="N65" s="62">
        <f t="shared" si="19"/>
        <v>1.0090199974117442</v>
      </c>
      <c r="O65" s="59">
        <f t="shared" si="35"/>
        <v>939.58</v>
      </c>
      <c r="P65" s="59">
        <f t="shared" si="20"/>
        <v>20833.330000000002</v>
      </c>
      <c r="Q65" s="59">
        <f t="shared" si="24"/>
        <v>21772.910000000003</v>
      </c>
      <c r="R65" s="60">
        <f t="shared" si="22"/>
        <v>83333.340000000637</v>
      </c>
      <c r="S65" s="64">
        <f t="shared" si="36"/>
        <v>5</v>
      </c>
      <c r="T65" s="3">
        <f t="shared" si="28"/>
        <v>5</v>
      </c>
      <c r="U65" s="63" t="str">
        <f t="shared" si="25"/>
        <v>A</v>
      </c>
      <c r="V65" s="63" t="str">
        <f t="shared" si="29"/>
        <v>A</v>
      </c>
      <c r="W65" s="84" t="str">
        <f t="shared" si="30"/>
        <v>Mensal</v>
      </c>
      <c r="X65" s="3">
        <f t="shared" si="13"/>
        <v>1</v>
      </c>
      <c r="Y65" s="3">
        <f t="shared" si="37"/>
        <v>1</v>
      </c>
      <c r="Z65" s="3">
        <f t="shared" si="38"/>
        <v>1</v>
      </c>
      <c r="AA65" s="3">
        <f t="shared" si="39"/>
        <v>5</v>
      </c>
      <c r="AJ65" s="5">
        <v>57</v>
      </c>
      <c r="AK65" s="130">
        <v>1E-3</v>
      </c>
    </row>
    <row r="66" spans="1:37" x14ac:dyDescent="0.2">
      <c r="A66" s="76" t="str">
        <f t="shared" si="40"/>
        <v>2025</v>
      </c>
      <c r="B66" s="76" t="str">
        <f t="shared" si="41"/>
        <v>01/2025</v>
      </c>
      <c r="C66" s="55">
        <f t="shared" si="31"/>
        <v>44210</v>
      </c>
      <c r="D66" s="56">
        <f>WORKDAY((F66+14)-1,1,Feriados!$B$3:$B$626)</f>
        <v>44210</v>
      </c>
      <c r="E66" s="56">
        <f t="shared" si="23"/>
        <v>44179</v>
      </c>
      <c r="F66" s="56">
        <f t="shared" si="42"/>
        <v>44196</v>
      </c>
      <c r="G66" s="57">
        <f>VLOOKUP(F66,'Série IPCA'!$K$10:$L$997,2,FALSE)</f>
        <v>0.3314010484164876</v>
      </c>
      <c r="H66" s="58">
        <f>NETWORKDAYS(IF(C65="",D65,C65),D66,Feriados!$B$3:$B$626)-1</f>
        <v>20</v>
      </c>
      <c r="I66" s="58">
        <f>NETWORKDAYS(E66,D66,Feriados!$B$3:$B$626)-1</f>
        <v>20</v>
      </c>
      <c r="J66" s="62">
        <f t="shared" si="43"/>
        <v>1.0033140104841649</v>
      </c>
      <c r="K66" s="62">
        <f t="shared" si="32"/>
        <v>1.0014402878224715</v>
      </c>
      <c r="L66" s="62">
        <f t="shared" si="33"/>
        <v>1.0011196838688423</v>
      </c>
      <c r="M66" s="62">
        <f t="shared" si="34"/>
        <v>1.0031176046646693</v>
      </c>
      <c r="N66" s="62">
        <f t="shared" si="19"/>
        <v>1.0090200328722096</v>
      </c>
      <c r="O66" s="59">
        <f t="shared" si="35"/>
        <v>751.67</v>
      </c>
      <c r="P66" s="59">
        <f t="shared" si="20"/>
        <v>20833.34</v>
      </c>
      <c r="Q66" s="59">
        <f t="shared" si="24"/>
        <v>21585.01</v>
      </c>
      <c r="R66" s="60">
        <f t="shared" si="22"/>
        <v>62500.00000000064</v>
      </c>
      <c r="S66" s="64">
        <f t="shared" si="36"/>
        <v>4</v>
      </c>
      <c r="T66" s="3">
        <f t="shared" si="28"/>
        <v>4</v>
      </c>
      <c r="U66" s="63" t="str">
        <f t="shared" si="25"/>
        <v>A</v>
      </c>
      <c r="V66" s="63" t="str">
        <f t="shared" si="29"/>
        <v>A</v>
      </c>
      <c r="W66" s="84" t="str">
        <f t="shared" si="30"/>
        <v>Mensal</v>
      </c>
      <c r="X66" s="3">
        <f t="shared" si="13"/>
        <v>1</v>
      </c>
      <c r="Y66" s="3">
        <f t="shared" si="37"/>
        <v>1</v>
      </c>
      <c r="Z66" s="3">
        <f t="shared" si="38"/>
        <v>1</v>
      </c>
      <c r="AA66" s="3">
        <f t="shared" si="39"/>
        <v>4</v>
      </c>
      <c r="AJ66" s="5">
        <v>58</v>
      </c>
      <c r="AK66" s="130">
        <v>8.9999999999999998E-4</v>
      </c>
    </row>
    <row r="67" spans="1:37" x14ac:dyDescent="0.2">
      <c r="A67" s="76" t="str">
        <f t="shared" si="40"/>
        <v>2025</v>
      </c>
      <c r="B67" s="76" t="str">
        <f t="shared" si="41"/>
        <v>02/2025</v>
      </c>
      <c r="C67" s="55">
        <f t="shared" si="31"/>
        <v>44243</v>
      </c>
      <c r="D67" s="56">
        <f>WORKDAY((F67+14)-1,1,Feriados!$B$3:$B$626)</f>
        <v>44243</v>
      </c>
      <c r="E67" s="56">
        <f t="shared" si="23"/>
        <v>44210</v>
      </c>
      <c r="F67" s="56">
        <f t="shared" si="42"/>
        <v>44227</v>
      </c>
      <c r="G67" s="57">
        <f>VLOOKUP(F67,'Série IPCA'!$K$10:$L$997,2,FALSE)</f>
        <v>0.33140700329816403</v>
      </c>
      <c r="H67" s="58">
        <f>NETWORKDAYS(IF(C66="",D66,C66),D67,Feriados!$B$3:$B$626)-1</f>
        <v>23</v>
      </c>
      <c r="I67" s="58">
        <f>NETWORKDAYS(E67,D67,Feriados!$B$3:$B$626)-1</f>
        <v>23</v>
      </c>
      <c r="J67" s="62">
        <f t="shared" si="43"/>
        <v>1.0033140700329817</v>
      </c>
      <c r="K67" s="62">
        <f t="shared" si="32"/>
        <v>1.0016565098423793</v>
      </c>
      <c r="L67" s="62">
        <f t="shared" si="33"/>
        <v>1.0012877445458146</v>
      </c>
      <c r="M67" s="62">
        <f t="shared" si="34"/>
        <v>1.0035860829282697</v>
      </c>
      <c r="N67" s="62">
        <f t="shared" si="19"/>
        <v>1.0098787905821356</v>
      </c>
      <c r="O67" s="59">
        <f t="shared" si="35"/>
        <v>617.41999999999996</v>
      </c>
      <c r="P67" s="59">
        <f t="shared" si="20"/>
        <v>20833.330000000002</v>
      </c>
      <c r="Q67" s="59">
        <f t="shared" si="24"/>
        <v>21450.75</v>
      </c>
      <c r="R67" s="60">
        <f t="shared" si="22"/>
        <v>41666.670000000639</v>
      </c>
      <c r="S67" s="64">
        <f t="shared" si="36"/>
        <v>3</v>
      </c>
      <c r="T67" s="3">
        <f t="shared" ref="T67:T98" si="44">IF($T$9-1=1,$N$3,IF(T66-1&lt;0,$N$3,T66-1))</f>
        <v>3</v>
      </c>
      <c r="U67" s="63" t="str">
        <f t="shared" si="25"/>
        <v>A</v>
      </c>
      <c r="V67" s="63" t="str">
        <f t="shared" si="29"/>
        <v>A</v>
      </c>
      <c r="W67" s="84" t="str">
        <f t="shared" si="30"/>
        <v>Mensal</v>
      </c>
      <c r="X67" s="3">
        <f t="shared" si="13"/>
        <v>1</v>
      </c>
      <c r="Y67" s="3">
        <f t="shared" si="37"/>
        <v>1</v>
      </c>
      <c r="Z67" s="3">
        <f t="shared" si="38"/>
        <v>1</v>
      </c>
      <c r="AA67" s="3">
        <f t="shared" si="39"/>
        <v>3</v>
      </c>
      <c r="AJ67" s="5">
        <v>59</v>
      </c>
      <c r="AK67" s="130">
        <v>8.9999999999999998E-4</v>
      </c>
    </row>
    <row r="68" spans="1:37" x14ac:dyDescent="0.2">
      <c r="A68" s="76" t="str">
        <f t="shared" si="40"/>
        <v>2025</v>
      </c>
      <c r="B68" s="76" t="str">
        <f t="shared" si="41"/>
        <v>03/2025</v>
      </c>
      <c r="C68" s="55">
        <f t="shared" si="31"/>
        <v>44271</v>
      </c>
      <c r="D68" s="56">
        <f>WORKDAY((F68+14)-1,1,Feriados!$B$3:$B$626)</f>
        <v>44271</v>
      </c>
      <c r="E68" s="56">
        <f t="shared" si="23"/>
        <v>44241</v>
      </c>
      <c r="F68" s="56">
        <f t="shared" si="42"/>
        <v>44255</v>
      </c>
      <c r="G68" s="57">
        <f>VLOOKUP(F68,'Série IPCA'!$K$10:$L$997,2,FALSE)</f>
        <v>0.33141264573397289</v>
      </c>
      <c r="H68" s="58">
        <f>NETWORKDAYS(IF(C67="",D67,C67),D68,Feriados!$B$3:$B$626)-1</f>
        <v>18</v>
      </c>
      <c r="I68" s="58">
        <f>NETWORKDAYS(E68,D68,Feriados!$B$3:$B$626)-1</f>
        <v>18</v>
      </c>
      <c r="J68" s="62">
        <f t="shared" si="43"/>
        <v>1.0033141264573397</v>
      </c>
      <c r="K68" s="62">
        <f t="shared" si="32"/>
        <v>1.0012961657401798</v>
      </c>
      <c r="L68" s="62">
        <f t="shared" si="33"/>
        <v>1.0010076590889676</v>
      </c>
      <c r="M68" s="62">
        <f t="shared" si="34"/>
        <v>1.0028054073217112</v>
      </c>
      <c r="N68" s="62">
        <f t="shared" si="19"/>
        <v>1.0084480899344566</v>
      </c>
      <c r="O68" s="59">
        <f t="shared" si="35"/>
        <v>352</v>
      </c>
      <c r="P68" s="59">
        <f t="shared" si="20"/>
        <v>20833.34</v>
      </c>
      <c r="Q68" s="59">
        <f t="shared" si="24"/>
        <v>21185.34</v>
      </c>
      <c r="R68" s="60">
        <f t="shared" si="22"/>
        <v>20833.330000000638</v>
      </c>
      <c r="S68" s="64">
        <f t="shared" si="36"/>
        <v>2</v>
      </c>
      <c r="T68" s="3">
        <f t="shared" si="44"/>
        <v>2</v>
      </c>
      <c r="U68" s="63" t="str">
        <f t="shared" si="25"/>
        <v>A</v>
      </c>
      <c r="V68" s="63" t="str">
        <f t="shared" si="29"/>
        <v>A</v>
      </c>
      <c r="W68" s="84" t="str">
        <f t="shared" si="30"/>
        <v>Mensal</v>
      </c>
      <c r="X68" s="3">
        <f t="shared" si="13"/>
        <v>1</v>
      </c>
      <c r="Y68" s="3">
        <f t="shared" si="37"/>
        <v>1</v>
      </c>
      <c r="Z68" s="3">
        <f t="shared" si="38"/>
        <v>1</v>
      </c>
      <c r="AA68" s="3">
        <f t="shared" si="39"/>
        <v>2</v>
      </c>
      <c r="AJ68" s="5">
        <v>60</v>
      </c>
      <c r="AK68" s="130">
        <v>8.9999999999999998E-4</v>
      </c>
    </row>
    <row r="69" spans="1:37" x14ac:dyDescent="0.2">
      <c r="A69" s="76" t="str">
        <f t="shared" si="40"/>
        <v>2025</v>
      </c>
      <c r="B69" s="76" t="str">
        <f t="shared" si="41"/>
        <v>04/2025</v>
      </c>
      <c r="C69" s="55">
        <f t="shared" si="31"/>
        <v>44300</v>
      </c>
      <c r="D69" s="56">
        <f>WORKDAY((F69+14)-1,1,Feriados!$B$3:$B$626)</f>
        <v>44300</v>
      </c>
      <c r="E69" s="56">
        <f t="shared" si="23"/>
        <v>44269</v>
      </c>
      <c r="F69" s="56">
        <f t="shared" si="42"/>
        <v>44286</v>
      </c>
      <c r="G69" s="57">
        <f>VLOOKUP(F69,'Série IPCA'!$K$10:$L$997,2,FALSE)</f>
        <v>0.33141569896296685</v>
      </c>
      <c r="H69" s="58">
        <f>NETWORKDAYS(IF(C68="",D68,C68),D69,Feriados!$B$3:$B$626)-1</f>
        <v>21</v>
      </c>
      <c r="I69" s="58">
        <f>NETWORKDAYS(E69,D69,Feriados!$B$3:$B$626)-1</f>
        <v>21</v>
      </c>
      <c r="J69" s="62">
        <f t="shared" si="43"/>
        <v>1.0033141569896298</v>
      </c>
      <c r="K69" s="62">
        <f t="shared" si="32"/>
        <v>1.0015123566425381</v>
      </c>
      <c r="L69" s="62">
        <f t="shared" si="33"/>
        <v>1.0011757009600362</v>
      </c>
      <c r="M69" s="62">
        <f t="shared" si="34"/>
        <v>1.0032737397821989</v>
      </c>
      <c r="N69" s="62">
        <f t="shared" si="19"/>
        <v>1.0093063316848221</v>
      </c>
      <c r="O69" s="59">
        <f t="shared" si="35"/>
        <v>193.88</v>
      </c>
      <c r="P69" s="59">
        <f t="shared" si="20"/>
        <v>20833.330000000002</v>
      </c>
      <c r="Q69" s="59">
        <f t="shared" si="24"/>
        <v>21027.210000000003</v>
      </c>
      <c r="R69" s="60">
        <f t="shared" si="22"/>
        <v>6.3664629124104977E-10</v>
      </c>
      <c r="S69" s="64">
        <f t="shared" si="36"/>
        <v>1</v>
      </c>
      <c r="T69" s="3">
        <f t="shared" si="44"/>
        <v>1</v>
      </c>
      <c r="U69" s="63" t="str">
        <f t="shared" si="25"/>
        <v>A</v>
      </c>
      <c r="V69" s="63" t="str">
        <f t="shared" si="29"/>
        <v>A</v>
      </c>
      <c r="W69" s="84" t="str">
        <f t="shared" si="30"/>
        <v>Mensal</v>
      </c>
      <c r="X69" s="3">
        <f t="shared" si="13"/>
        <v>1</v>
      </c>
      <c r="Y69" s="3">
        <f t="shared" si="37"/>
        <v>1</v>
      </c>
      <c r="Z69" s="3">
        <f t="shared" si="38"/>
        <v>1</v>
      </c>
      <c r="AA69" s="3">
        <f t="shared" si="39"/>
        <v>1</v>
      </c>
      <c r="AJ69" s="5">
        <v>61</v>
      </c>
      <c r="AK69" s="130">
        <v>8.9999999999999998E-4</v>
      </c>
    </row>
    <row r="70" spans="1:37" x14ac:dyDescent="0.2">
      <c r="A70" s="76" t="str">
        <f t="shared" si="40"/>
        <v>2025</v>
      </c>
      <c r="B70" s="76" t="str">
        <f t="shared" si="41"/>
        <v>05/2025</v>
      </c>
      <c r="C70" s="55">
        <f t="shared" si="31"/>
        <v>44330</v>
      </c>
      <c r="D70" s="56">
        <f>WORKDAY((F70+14)-1,1,Feriados!$B$3:$B$626)</f>
        <v>44330</v>
      </c>
      <c r="E70" s="56">
        <f t="shared" si="23"/>
        <v>44300</v>
      </c>
      <c r="F70" s="56">
        <f t="shared" si="42"/>
        <v>44316</v>
      </c>
      <c r="G70" s="57">
        <f>VLOOKUP(F70,'Série IPCA'!$K$10:$L$997,2,FALSE)</f>
        <v>0.33141567788029797</v>
      </c>
      <c r="H70" s="58">
        <f>NETWORKDAYS(IF(C69="",D69,C69),D70,Feriados!$B$3:$B$626)-1</f>
        <v>19</v>
      </c>
      <c r="I70" s="58">
        <f>NETWORKDAYS(E70,D70,Feriados!$B$3:$B$626)-1</f>
        <v>19</v>
      </c>
      <c r="J70" s="62">
        <f t="shared" si="43"/>
        <v>1.0033141567788031</v>
      </c>
      <c r="K70" s="62">
        <f t="shared" si="32"/>
        <v>1.0013682241884765</v>
      </c>
      <c r="L70" s="62">
        <f t="shared" si="33"/>
        <v>1.0010636699118778</v>
      </c>
      <c r="M70" s="62">
        <f t="shared" si="34"/>
        <v>1.0029614938457672</v>
      </c>
      <c r="N70" s="62">
        <f t="shared" si="19"/>
        <v>1.0087341096526308</v>
      </c>
      <c r="O70" s="59">
        <f t="shared" si="35"/>
        <v>0</v>
      </c>
      <c r="P70" s="59">
        <f t="shared" si="20"/>
        <v>0</v>
      </c>
      <c r="Q70" s="59">
        <f t="shared" si="24"/>
        <v>0</v>
      </c>
      <c r="R70" s="60">
        <f t="shared" si="22"/>
        <v>6.3664629124104977E-10</v>
      </c>
      <c r="S70" s="64">
        <f t="shared" si="36"/>
        <v>48</v>
      </c>
      <c r="T70" s="3">
        <f t="shared" si="44"/>
        <v>0</v>
      </c>
      <c r="U70" s="63" t="str">
        <f t="shared" si="25"/>
        <v>A</v>
      </c>
      <c r="V70" s="63" t="str">
        <f t="shared" si="29"/>
        <v>A</v>
      </c>
      <c r="W70" s="84" t="str">
        <f t="shared" si="30"/>
        <v>Mensal</v>
      </c>
      <c r="X70" s="3">
        <f t="shared" si="13"/>
        <v>1</v>
      </c>
      <c r="Y70" s="3">
        <f t="shared" si="37"/>
        <v>1</v>
      </c>
      <c r="Z70" s="3">
        <f t="shared" si="38"/>
        <v>1</v>
      </c>
      <c r="AA70" s="3">
        <f t="shared" si="39"/>
        <v>48</v>
      </c>
      <c r="AJ70" s="5">
        <v>62</v>
      </c>
      <c r="AK70" s="130">
        <v>8.9999999999999998E-4</v>
      </c>
    </row>
    <row r="71" spans="1:37" x14ac:dyDescent="0.2">
      <c r="A71" s="76" t="str">
        <f t="shared" si="40"/>
        <v>2025</v>
      </c>
      <c r="B71" s="76" t="str">
        <f t="shared" si="41"/>
        <v>06/2025</v>
      </c>
      <c r="C71" s="55">
        <f t="shared" si="31"/>
        <v>44362</v>
      </c>
      <c r="D71" s="56">
        <f>WORKDAY((F71+14)-1,1,Feriados!$B$3:$B$626)</f>
        <v>44362</v>
      </c>
      <c r="E71" s="56">
        <f t="shared" si="23"/>
        <v>44330</v>
      </c>
      <c r="F71" s="56">
        <f t="shared" si="42"/>
        <v>44347</v>
      </c>
      <c r="G71" s="57">
        <f>VLOOKUP(F71,'Série IPCA'!$K$10:$L$997,2,FALSE)</f>
        <v>0.33141407267584511</v>
      </c>
      <c r="H71" s="58">
        <f>NETWORKDAYS(IF(C70="",D70,C70),D71,Feriados!$B$3:$B$626)-1</f>
        <v>22</v>
      </c>
      <c r="I71" s="58">
        <f>NETWORKDAYS(E71,D71,Feriados!$B$3:$B$626)-1</f>
        <v>22</v>
      </c>
      <c r="J71" s="62">
        <f t="shared" si="43"/>
        <v>1.0033141407267585</v>
      </c>
      <c r="K71" s="62">
        <f t="shared" si="32"/>
        <v>1.0015844306490498</v>
      </c>
      <c r="L71" s="62">
        <f t="shared" si="33"/>
        <v>1.0012317211856352</v>
      </c>
      <c r="M71" s="62">
        <f t="shared" si="34"/>
        <v>1.0034298992021382</v>
      </c>
      <c r="N71" s="62">
        <f t="shared" si="19"/>
        <v>1.0095925479448014</v>
      </c>
      <c r="O71" s="59">
        <f t="shared" si="35"/>
        <v>0</v>
      </c>
      <c r="P71" s="59">
        <f t="shared" si="20"/>
        <v>0</v>
      </c>
      <c r="Q71" s="59">
        <f t="shared" si="24"/>
        <v>0</v>
      </c>
      <c r="R71" s="60">
        <f t="shared" si="22"/>
        <v>6.3664629124104977E-10</v>
      </c>
      <c r="S71" s="64">
        <f t="shared" si="36"/>
        <v>47</v>
      </c>
      <c r="T71" s="3">
        <f t="shared" si="44"/>
        <v>48</v>
      </c>
      <c r="U71" s="63" t="str">
        <f t="shared" si="25"/>
        <v>A</v>
      </c>
      <c r="V71" s="63" t="str">
        <f t="shared" si="29"/>
        <v>A</v>
      </c>
      <c r="W71" s="84" t="str">
        <f t="shared" si="30"/>
        <v>Mensal</v>
      </c>
      <c r="X71" s="3">
        <f t="shared" si="13"/>
        <v>1</v>
      </c>
      <c r="Y71" s="3">
        <f t="shared" si="37"/>
        <v>1</v>
      </c>
      <c r="Z71" s="3">
        <f t="shared" si="38"/>
        <v>1</v>
      </c>
      <c r="AA71" s="3">
        <f t="shared" si="39"/>
        <v>47</v>
      </c>
      <c r="AJ71" s="5">
        <v>63</v>
      </c>
      <c r="AK71" s="130">
        <v>8.9999999999999998E-4</v>
      </c>
    </row>
    <row r="72" spans="1:37" x14ac:dyDescent="0.2">
      <c r="A72" s="76" t="str">
        <f t="shared" si="40"/>
        <v>2025</v>
      </c>
      <c r="B72" s="76" t="str">
        <f t="shared" si="41"/>
        <v>07/2025</v>
      </c>
      <c r="C72" s="55">
        <f t="shared" si="31"/>
        <v>44391</v>
      </c>
      <c r="D72" s="56">
        <f>WORKDAY((F72+14)-1,1,Feriados!$B$3:$B$626)</f>
        <v>44391</v>
      </c>
      <c r="E72" s="56">
        <f t="shared" si="23"/>
        <v>44361</v>
      </c>
      <c r="F72" s="56">
        <f t="shared" si="42"/>
        <v>44377</v>
      </c>
      <c r="G72" s="57">
        <f>VLOOKUP(F72,'Série IPCA'!$K$10:$L$997,2,FALSE)</f>
        <v>0.33141189947548383</v>
      </c>
      <c r="H72" s="58">
        <f>NETWORKDAYS(IF(C71="",D71,C71),D72,Feriados!$B$3:$B$626)-1</f>
        <v>20</v>
      </c>
      <c r="I72" s="58">
        <f>NETWORKDAYS(E72,D72,Feriados!$B$3:$B$626)-1</f>
        <v>20</v>
      </c>
      <c r="J72" s="62">
        <f t="shared" si="43"/>
        <v>1.0033141189947548</v>
      </c>
      <c r="K72" s="62">
        <f t="shared" si="32"/>
        <v>1.0014402878224715</v>
      </c>
      <c r="L72" s="62">
        <f t="shared" si="33"/>
        <v>1.0011196838688423</v>
      </c>
      <c r="M72" s="62">
        <f t="shared" si="34"/>
        <v>1.0031176046646693</v>
      </c>
      <c r="N72" s="62">
        <f t="shared" si="19"/>
        <v>1.0090201419999185</v>
      </c>
      <c r="O72" s="59">
        <f t="shared" si="35"/>
        <v>0</v>
      </c>
      <c r="P72" s="59">
        <f t="shared" si="20"/>
        <v>0</v>
      </c>
      <c r="Q72" s="59">
        <f t="shared" si="24"/>
        <v>0</v>
      </c>
      <c r="R72" s="60">
        <f t="shared" si="22"/>
        <v>6.3664629124104977E-10</v>
      </c>
      <c r="S72" s="64">
        <f t="shared" si="36"/>
        <v>46</v>
      </c>
      <c r="T72" s="3">
        <f t="shared" si="44"/>
        <v>47</v>
      </c>
      <c r="U72" s="63" t="str">
        <f t="shared" si="25"/>
        <v>A</v>
      </c>
      <c r="V72" s="63" t="str">
        <f t="shared" si="29"/>
        <v>A</v>
      </c>
      <c r="W72" s="84" t="str">
        <f t="shared" si="30"/>
        <v>Mensal</v>
      </c>
      <c r="X72" s="3">
        <f t="shared" si="13"/>
        <v>1</v>
      </c>
      <c r="Y72" s="3">
        <f t="shared" si="37"/>
        <v>1</v>
      </c>
      <c r="Z72" s="3">
        <f t="shared" si="38"/>
        <v>1</v>
      </c>
      <c r="AA72" s="3">
        <f t="shared" si="39"/>
        <v>46</v>
      </c>
      <c r="AJ72" s="5">
        <v>64</v>
      </c>
      <c r="AK72" s="130">
        <v>8.0000000000000004E-4</v>
      </c>
    </row>
    <row r="73" spans="1:37" x14ac:dyDescent="0.2">
      <c r="A73" s="76" t="str">
        <f t="shared" si="40"/>
        <v>2025</v>
      </c>
      <c r="B73" s="76" t="str">
        <f t="shared" si="41"/>
        <v>08/2025</v>
      </c>
      <c r="C73" s="55">
        <f t="shared" si="31"/>
        <v>44422</v>
      </c>
      <c r="D73" s="56">
        <f>WORKDAY((F73+14)-1,1,Feriados!$B$3:$B$626)</f>
        <v>44422</v>
      </c>
      <c r="E73" s="56">
        <f t="shared" si="23"/>
        <v>44391</v>
      </c>
      <c r="F73" s="56">
        <f t="shared" si="42"/>
        <v>44408</v>
      </c>
      <c r="G73" s="57">
        <f>VLOOKUP(F73,'Série IPCA'!$K$10:$L$997,2,FALSE)</f>
        <v>0.33140986873183281</v>
      </c>
      <c r="H73" s="58">
        <f>NETWORKDAYS(IF(C72="",D72,C72),D73,Feriados!$B$3:$B$626)-1</f>
        <v>23</v>
      </c>
      <c r="I73" s="58">
        <f>NETWORKDAYS(E73,D73,Feriados!$B$3:$B$626)-1</f>
        <v>23</v>
      </c>
      <c r="J73" s="62">
        <f t="shared" si="43"/>
        <v>1.0033140986873184</v>
      </c>
      <c r="K73" s="62">
        <f t="shared" si="32"/>
        <v>1.0016565098423793</v>
      </c>
      <c r="L73" s="62">
        <f t="shared" si="33"/>
        <v>1.0012877445458146</v>
      </c>
      <c r="M73" s="62">
        <f t="shared" si="34"/>
        <v>1.0035860829282697</v>
      </c>
      <c r="N73" s="62">
        <f t="shared" si="19"/>
        <v>1.0098788194239587</v>
      </c>
      <c r="O73" s="59">
        <f t="shared" si="35"/>
        <v>0</v>
      </c>
      <c r="P73" s="59">
        <f t="shared" si="20"/>
        <v>0</v>
      </c>
      <c r="Q73" s="59">
        <f t="shared" si="24"/>
        <v>0</v>
      </c>
      <c r="R73" s="60">
        <f t="shared" si="22"/>
        <v>6.3664629124104977E-10</v>
      </c>
      <c r="S73" s="64">
        <f t="shared" si="36"/>
        <v>45</v>
      </c>
      <c r="T73" s="3">
        <f t="shared" si="44"/>
        <v>46</v>
      </c>
      <c r="U73" s="63" t="str">
        <f t="shared" si="25"/>
        <v>A</v>
      </c>
      <c r="V73" s="63" t="str">
        <f t="shared" ref="V73:V104" si="45">IF(U73="A","A",IF($J$3="E","E",IF($J$3="C","C",0)))</f>
        <v>A</v>
      </c>
      <c r="W73" s="84" t="str">
        <f t="shared" ref="W73:W104" si="46">IF(U73="C",$K$4,IF(U73="A",$M$4,""))</f>
        <v>Mensal</v>
      </c>
      <c r="X73" s="3">
        <f t="shared" si="13"/>
        <v>1</v>
      </c>
      <c r="Y73" s="3">
        <f t="shared" si="37"/>
        <v>1</v>
      </c>
      <c r="Z73" s="3">
        <f t="shared" si="38"/>
        <v>1</v>
      </c>
      <c r="AA73" s="3">
        <f t="shared" si="39"/>
        <v>45</v>
      </c>
      <c r="AJ73" s="5">
        <v>65</v>
      </c>
      <c r="AK73" s="130">
        <v>8.0000000000000004E-4</v>
      </c>
    </row>
    <row r="74" spans="1:37" x14ac:dyDescent="0.2">
      <c r="A74" s="76" t="str">
        <f t="shared" si="40"/>
        <v>2025</v>
      </c>
      <c r="B74" s="76" t="str">
        <f t="shared" si="41"/>
        <v>09/2025</v>
      </c>
      <c r="C74" s="55">
        <f t="shared" ref="C74:C105" si="47">IF(S74="","",D74)</f>
        <v>44453</v>
      </c>
      <c r="D74" s="56">
        <f>WORKDAY((F74+14)-1,1,Feriados!$B$3:$B$626)</f>
        <v>44453</v>
      </c>
      <c r="E74" s="56">
        <f t="shared" si="23"/>
        <v>44422</v>
      </c>
      <c r="F74" s="56">
        <f t="shared" si="42"/>
        <v>44439</v>
      </c>
      <c r="G74" s="57">
        <f>VLOOKUP(F74,'Série IPCA'!$K$10:$L$997,2,FALSE)</f>
        <v>0.33140850532524602</v>
      </c>
      <c r="H74" s="58">
        <f>NETWORKDAYS(IF(C73="",D73,C73),D74,Feriados!$B$3:$B$626)-1</f>
        <v>21</v>
      </c>
      <c r="I74" s="58">
        <f>NETWORKDAYS(E74,D74,Feriados!$B$3:$B$626)-1</f>
        <v>21</v>
      </c>
      <c r="J74" s="62">
        <f t="shared" si="43"/>
        <v>1.0033140850532525</v>
      </c>
      <c r="K74" s="62">
        <f t="shared" ref="K74:K105" si="48">(1+$G$3/100)^(H74/252)</f>
        <v>1.0015123566425381</v>
      </c>
      <c r="L74" s="62">
        <f t="shared" ref="L74:L105" si="49">(1+$H$3/100)^(H74/252)</f>
        <v>1.0011757009600362</v>
      </c>
      <c r="M74" s="62">
        <f t="shared" ref="M74:M105" si="50">(1+$I$3/100)^(H74/252)</f>
        <v>1.0032737397821989</v>
      </c>
      <c r="N74" s="62">
        <f t="shared" si="19"/>
        <v>1.0093062593188133</v>
      </c>
      <c r="O74" s="59">
        <f t="shared" ref="O74:O105" si="51">IF(X74=Y74,IFERROR(IF(C74="",0,ROUND(R73*(N74-1),2)),0),0)</f>
        <v>0</v>
      </c>
      <c r="P74" s="59">
        <f t="shared" si="20"/>
        <v>0</v>
      </c>
      <c r="Q74" s="59">
        <f t="shared" si="24"/>
        <v>0</v>
      </c>
      <c r="R74" s="60">
        <f t="shared" si="22"/>
        <v>6.3664629124104977E-10</v>
      </c>
      <c r="S74" s="64">
        <f t="shared" ref="S74:S105" si="52">IF(Z74=0,"",IF(U74="C",AA74,IF(U74="A",AA74,"")))</f>
        <v>44</v>
      </c>
      <c r="T74" s="3">
        <f t="shared" si="44"/>
        <v>45</v>
      </c>
      <c r="U74" s="63" t="str">
        <f t="shared" si="25"/>
        <v>A</v>
      </c>
      <c r="V74" s="63" t="str">
        <f t="shared" si="45"/>
        <v>A</v>
      </c>
      <c r="W74" s="84" t="str">
        <f t="shared" si="46"/>
        <v>Mensal</v>
      </c>
      <c r="X74" s="3">
        <f t="shared" ref="X74:X137" si="53">IF(W74="MENSAL",1,IF(W74="TRIMESTRAL",3,IF(W74="SEMESTRAL",6,IF(W74="ANUAL",12,0))))</f>
        <v>1</v>
      </c>
      <c r="Y74" s="3">
        <f t="shared" ref="Y74:Y105" si="54">IF(Y73=X73,1,Y73+1)</f>
        <v>1</v>
      </c>
      <c r="Z74" s="3">
        <f t="shared" ref="Z74:Z105" si="55">IF(X74=Y74,Y74/X74,0)</f>
        <v>1</v>
      </c>
      <c r="AA74" s="3">
        <f t="shared" ref="AA74:AA105" si="56">IF((AA73-Z74)=0,$N$3,AA73-Z74)</f>
        <v>44</v>
      </c>
      <c r="AJ74" s="5">
        <v>66</v>
      </c>
      <c r="AK74" s="130">
        <v>8.0000000000000004E-4</v>
      </c>
    </row>
    <row r="75" spans="1:37" x14ac:dyDescent="0.2">
      <c r="A75" s="76" t="str">
        <f t="shared" si="40"/>
        <v>2025</v>
      </c>
      <c r="B75" s="76" t="str">
        <f t="shared" si="41"/>
        <v>10/2025</v>
      </c>
      <c r="C75" s="55">
        <f t="shared" si="47"/>
        <v>44483</v>
      </c>
      <c r="D75" s="56">
        <f>WORKDAY((F75+14)-1,1,Feriados!$B$3:$B$626)</f>
        <v>44483</v>
      </c>
      <c r="E75" s="56">
        <f t="shared" si="23"/>
        <v>44453</v>
      </c>
      <c r="F75" s="56">
        <f t="shared" si="42"/>
        <v>44469</v>
      </c>
      <c r="G75" s="57">
        <f>VLOOKUP(F75,'Série IPCA'!$K$10:$L$997,2,FALSE)</f>
        <v>0.33140803139234404</v>
      </c>
      <c r="H75" s="58">
        <f>NETWORKDAYS(IF(C74="",D74,C74),D75,Feriados!$B$3:$B$626)-1</f>
        <v>22</v>
      </c>
      <c r="I75" s="58">
        <f>NETWORKDAYS(E75,D75,Feriados!$B$3:$B$626)-1</f>
        <v>22</v>
      </c>
      <c r="J75" s="62">
        <f t="shared" si="43"/>
        <v>1.0033140803139236</v>
      </c>
      <c r="K75" s="62">
        <f t="shared" si="48"/>
        <v>1.0015844306490498</v>
      </c>
      <c r="L75" s="62">
        <f t="shared" si="49"/>
        <v>1.0012317211856352</v>
      </c>
      <c r="M75" s="62">
        <f t="shared" si="50"/>
        <v>1.0034298992021382</v>
      </c>
      <c r="N75" s="62">
        <f t="shared" ref="N75:N138" si="57">IF(C74="",N74*J75*K75*L75*M75,J75*K75*L75*M75)</f>
        <v>1.0095924871539226</v>
      </c>
      <c r="O75" s="59">
        <f t="shared" si="51"/>
        <v>0</v>
      </c>
      <c r="P75" s="59">
        <f t="shared" ref="P75:P138" si="58">IF(X75=Y75,IFERROR(IF(U75="A",ROUND(R74/S75,2),0),0),0)</f>
        <v>0</v>
      </c>
      <c r="Q75" s="59">
        <f t="shared" ref="Q75:Q138" si="59">IF(U75="A",(O75+P75),IF(V75="C",0,(O75+P75)))</f>
        <v>0</v>
      </c>
      <c r="R75" s="60">
        <f t="shared" ref="R75:R138" si="60">IF(V75="C",(R74-P75+O75),IF(V75="E",(R74+P75),IF(U75="A",(R74-P75),(R74-P75))))</f>
        <v>6.3664629124104977E-10</v>
      </c>
      <c r="S75" s="64">
        <f t="shared" si="52"/>
        <v>43</v>
      </c>
      <c r="T75" s="3">
        <f t="shared" si="44"/>
        <v>44</v>
      </c>
      <c r="U75" s="63" t="str">
        <f t="shared" si="25"/>
        <v>A</v>
      </c>
      <c r="V75" s="63" t="str">
        <f t="shared" si="45"/>
        <v>A</v>
      </c>
      <c r="W75" s="84" t="str">
        <f t="shared" si="46"/>
        <v>Mensal</v>
      </c>
      <c r="X75" s="3">
        <f t="shared" si="53"/>
        <v>1</v>
      </c>
      <c r="Y75" s="3">
        <f t="shared" si="54"/>
        <v>1</v>
      </c>
      <c r="Z75" s="3">
        <f t="shared" si="55"/>
        <v>1</v>
      </c>
      <c r="AA75" s="3">
        <f t="shared" si="56"/>
        <v>43</v>
      </c>
      <c r="AJ75" s="5">
        <v>67</v>
      </c>
      <c r="AK75" s="130">
        <v>8.0000000000000004E-4</v>
      </c>
    </row>
    <row r="76" spans="1:37" x14ac:dyDescent="0.2">
      <c r="A76" s="76" t="str">
        <f t="shared" si="40"/>
        <v>2025</v>
      </c>
      <c r="B76" s="76" t="str">
        <f t="shared" si="41"/>
        <v>11/2025</v>
      </c>
      <c r="C76" s="55">
        <f t="shared" si="47"/>
        <v>44516</v>
      </c>
      <c r="D76" s="56">
        <f>WORKDAY((F76+14)-1,1,Feriados!$B$3:$B$626)</f>
        <v>44516</v>
      </c>
      <c r="E76" s="56">
        <f t="shared" ref="E76:E139" si="61">EDATE(E75,1)</f>
        <v>44483</v>
      </c>
      <c r="F76" s="56">
        <f t="shared" si="42"/>
        <v>44500</v>
      </c>
      <c r="G76" s="57">
        <f>VLOOKUP(F76,'Série IPCA'!$K$10:$L$997,2,FALSE)</f>
        <v>0.33140835867729995</v>
      </c>
      <c r="H76" s="58">
        <f>NETWORKDAYS(IF(C75="",D75,C75),D76,Feriados!$B$3:$B$626)-1</f>
        <v>23</v>
      </c>
      <c r="I76" s="58">
        <f>NETWORKDAYS(E76,D76,Feriados!$B$3:$B$626)-1</f>
        <v>23</v>
      </c>
      <c r="J76" s="62">
        <f t="shared" si="43"/>
        <v>1.0033140835867731</v>
      </c>
      <c r="K76" s="62">
        <f t="shared" si="48"/>
        <v>1.0016565098423793</v>
      </c>
      <c r="L76" s="62">
        <f t="shared" si="49"/>
        <v>1.0012877445458146</v>
      </c>
      <c r="M76" s="62">
        <f t="shared" si="50"/>
        <v>1.0035860829282697</v>
      </c>
      <c r="N76" s="62">
        <f t="shared" si="57"/>
        <v>1.0098788042246098</v>
      </c>
      <c r="O76" s="59">
        <f t="shared" si="51"/>
        <v>0</v>
      </c>
      <c r="P76" s="59">
        <f t="shared" si="58"/>
        <v>0</v>
      </c>
      <c r="Q76" s="59">
        <f t="shared" si="59"/>
        <v>0</v>
      </c>
      <c r="R76" s="60">
        <f t="shared" si="60"/>
        <v>6.3664629124104977E-10</v>
      </c>
      <c r="S76" s="64">
        <f t="shared" si="52"/>
        <v>42</v>
      </c>
      <c r="T76" s="3">
        <f t="shared" si="44"/>
        <v>43</v>
      </c>
      <c r="U76" s="63" t="str">
        <f t="shared" si="25"/>
        <v>A</v>
      </c>
      <c r="V76" s="63" t="str">
        <f t="shared" si="45"/>
        <v>A</v>
      </c>
      <c r="W76" s="84" t="str">
        <f t="shared" si="46"/>
        <v>Mensal</v>
      </c>
      <c r="X76" s="3">
        <f t="shared" si="53"/>
        <v>1</v>
      </c>
      <c r="Y76" s="3">
        <f t="shared" si="54"/>
        <v>1</v>
      </c>
      <c r="Z76" s="3">
        <f t="shared" si="55"/>
        <v>1</v>
      </c>
      <c r="AA76" s="3">
        <f t="shared" si="56"/>
        <v>42</v>
      </c>
      <c r="AJ76" s="5">
        <v>68</v>
      </c>
      <c r="AK76" s="130">
        <v>8.0000000000000004E-4</v>
      </c>
    </row>
    <row r="77" spans="1:37" x14ac:dyDescent="0.2">
      <c r="A77" s="76" t="str">
        <f t="shared" si="40"/>
        <v>2025</v>
      </c>
      <c r="B77" s="76" t="str">
        <f t="shared" si="41"/>
        <v>12/2025</v>
      </c>
      <c r="C77" s="55">
        <f t="shared" si="47"/>
        <v>44544</v>
      </c>
      <c r="D77" s="56">
        <f>WORKDAY((F77+14)-1,1,Feriados!$B$3:$B$626)</f>
        <v>44544</v>
      </c>
      <c r="E77" s="56">
        <f t="shared" si="61"/>
        <v>44514</v>
      </c>
      <c r="F77" s="56">
        <f t="shared" si="42"/>
        <v>44530</v>
      </c>
      <c r="G77" s="57">
        <f>VLOOKUP(F77,'Série IPCA'!$K$10:$L$997,2,FALSE)</f>
        <v>0.33140919441606959</v>
      </c>
      <c r="H77" s="58">
        <f>NETWORKDAYS(IF(C76="",D76,C76),D77,Feriados!$B$3:$B$626)-1</f>
        <v>20</v>
      </c>
      <c r="I77" s="58">
        <f>NETWORKDAYS(E77,D77,Feriados!$B$3:$B$626)-1</f>
        <v>20</v>
      </c>
      <c r="J77" s="62">
        <f t="shared" si="43"/>
        <v>1.0033140919441608</v>
      </c>
      <c r="K77" s="62">
        <f t="shared" si="48"/>
        <v>1.0014402878224715</v>
      </c>
      <c r="L77" s="62">
        <f t="shared" si="49"/>
        <v>1.0011196838688423</v>
      </c>
      <c r="M77" s="62">
        <f t="shared" si="50"/>
        <v>1.0031176046646693</v>
      </c>
      <c r="N77" s="62">
        <f t="shared" si="57"/>
        <v>1.0090201147954831</v>
      </c>
      <c r="O77" s="59">
        <f t="shared" si="51"/>
        <v>0</v>
      </c>
      <c r="P77" s="59">
        <f t="shared" si="58"/>
        <v>0</v>
      </c>
      <c r="Q77" s="59">
        <f t="shared" si="59"/>
        <v>0</v>
      </c>
      <c r="R77" s="60">
        <f t="shared" si="60"/>
        <v>6.3664629124104977E-10</v>
      </c>
      <c r="S77" s="64">
        <f t="shared" si="52"/>
        <v>41</v>
      </c>
      <c r="T77" s="3">
        <f t="shared" si="44"/>
        <v>42</v>
      </c>
      <c r="U77" s="63" t="str">
        <f t="shared" si="25"/>
        <v>A</v>
      </c>
      <c r="V77" s="63" t="str">
        <f t="shared" si="45"/>
        <v>A</v>
      </c>
      <c r="W77" s="84" t="str">
        <f t="shared" si="46"/>
        <v>Mensal</v>
      </c>
      <c r="X77" s="3">
        <f t="shared" si="53"/>
        <v>1</v>
      </c>
      <c r="Y77" s="3">
        <f t="shared" si="54"/>
        <v>1</v>
      </c>
      <c r="Z77" s="3">
        <f t="shared" si="55"/>
        <v>1</v>
      </c>
      <c r="AA77" s="3">
        <f t="shared" si="56"/>
        <v>41</v>
      </c>
      <c r="AJ77" s="5">
        <v>69</v>
      </c>
      <c r="AK77" s="130">
        <v>8.0000000000000004E-4</v>
      </c>
    </row>
    <row r="78" spans="1:37" x14ac:dyDescent="0.2">
      <c r="A78" s="76" t="str">
        <f t="shared" si="40"/>
        <v>2026</v>
      </c>
      <c r="B78" s="76" t="str">
        <f t="shared" si="41"/>
        <v>01/2026</v>
      </c>
      <c r="C78" s="55">
        <f t="shared" si="47"/>
        <v>44575</v>
      </c>
      <c r="D78" s="56">
        <f>WORKDAY((F78+14)-1,1,Feriados!$B$3:$B$626)</f>
        <v>44575</v>
      </c>
      <c r="E78" s="56">
        <f t="shared" si="61"/>
        <v>44544</v>
      </c>
      <c r="F78" s="56">
        <f t="shared" si="42"/>
        <v>44561</v>
      </c>
      <c r="G78" s="57">
        <f>VLOOKUP(F78,'Série IPCA'!$K$10:$L$997,2,FALSE)</f>
        <v>0.33141016708216758</v>
      </c>
      <c r="H78" s="58">
        <f>NETWORKDAYS(IF(C77="",D77,C77),D78,Feriados!$B$3:$B$626)-1</f>
        <v>21</v>
      </c>
      <c r="I78" s="58">
        <f>NETWORKDAYS(E78,D78,Feriados!$B$3:$B$626)-1</f>
        <v>21</v>
      </c>
      <c r="J78" s="62">
        <f t="shared" si="43"/>
        <v>1.0033141016708216</v>
      </c>
      <c r="K78" s="62">
        <f t="shared" si="48"/>
        <v>1.0015123566425381</v>
      </c>
      <c r="L78" s="62">
        <f t="shared" si="49"/>
        <v>1.0011757009600362</v>
      </c>
      <c r="M78" s="62">
        <f t="shared" si="50"/>
        <v>1.0032737397821989</v>
      </c>
      <c r="N78" s="62">
        <f t="shared" si="57"/>
        <v>1.0093062760356288</v>
      </c>
      <c r="O78" s="59">
        <f t="shared" si="51"/>
        <v>0</v>
      </c>
      <c r="P78" s="59">
        <f t="shared" si="58"/>
        <v>0</v>
      </c>
      <c r="Q78" s="59">
        <f t="shared" si="59"/>
        <v>0</v>
      </c>
      <c r="R78" s="60">
        <f t="shared" si="60"/>
        <v>6.3664629124104977E-10</v>
      </c>
      <c r="S78" s="64">
        <f t="shared" si="52"/>
        <v>40</v>
      </c>
      <c r="T78" s="3">
        <f t="shared" si="44"/>
        <v>41</v>
      </c>
      <c r="U78" s="63" t="str">
        <f t="shared" si="25"/>
        <v>A</v>
      </c>
      <c r="V78" s="63" t="str">
        <f t="shared" si="45"/>
        <v>A</v>
      </c>
      <c r="W78" s="84" t="str">
        <f t="shared" si="46"/>
        <v>Mensal</v>
      </c>
      <c r="X78" s="3">
        <f t="shared" si="53"/>
        <v>1</v>
      </c>
      <c r="Y78" s="3">
        <f t="shared" si="54"/>
        <v>1</v>
      </c>
      <c r="Z78" s="3">
        <f t="shared" si="55"/>
        <v>1</v>
      </c>
      <c r="AA78" s="3">
        <f t="shared" si="56"/>
        <v>40</v>
      </c>
      <c r="AJ78" s="5">
        <v>70</v>
      </c>
      <c r="AK78" s="130">
        <v>8.0000000000000004E-4</v>
      </c>
    </row>
    <row r="79" spans="1:37" x14ac:dyDescent="0.2">
      <c r="A79" s="76" t="str">
        <f t="shared" si="40"/>
        <v>2026</v>
      </c>
      <c r="B79" s="76" t="str">
        <f t="shared" si="41"/>
        <v>02/2026</v>
      </c>
      <c r="C79" s="55">
        <f t="shared" si="47"/>
        <v>44609</v>
      </c>
      <c r="D79" s="56">
        <f>WORKDAY((F79+14)-1,1,Feriados!$B$3:$B$626)</f>
        <v>44609</v>
      </c>
      <c r="E79" s="56">
        <f t="shared" si="61"/>
        <v>44575</v>
      </c>
      <c r="F79" s="56">
        <f t="shared" si="42"/>
        <v>44592</v>
      </c>
      <c r="G79" s="57">
        <f>VLOOKUP(F79,'Série IPCA'!$K$10:$L$997,2,FALSE)</f>
        <v>0.33141092697097424</v>
      </c>
      <c r="H79" s="58">
        <f>NETWORKDAYS(IF(C78="",D78,C78),D79,Feriados!$B$3:$B$626)-1</f>
        <v>22</v>
      </c>
      <c r="I79" s="58">
        <f>NETWORKDAYS(E79,D79,Feriados!$B$3:$B$626)-1</f>
        <v>22</v>
      </c>
      <c r="J79" s="62">
        <f t="shared" si="43"/>
        <v>1.0033141092697098</v>
      </c>
      <c r="K79" s="62">
        <f t="shared" si="48"/>
        <v>1.0015844306490498</v>
      </c>
      <c r="L79" s="62">
        <f t="shared" si="49"/>
        <v>1.0012317211856352</v>
      </c>
      <c r="M79" s="62">
        <f t="shared" si="50"/>
        <v>1.0034298992021382</v>
      </c>
      <c r="N79" s="62">
        <f t="shared" si="57"/>
        <v>1.009592516290905</v>
      </c>
      <c r="O79" s="59">
        <f t="shared" si="51"/>
        <v>0</v>
      </c>
      <c r="P79" s="59">
        <f t="shared" si="58"/>
        <v>0</v>
      </c>
      <c r="Q79" s="59">
        <f t="shared" si="59"/>
        <v>0</v>
      </c>
      <c r="R79" s="60">
        <f t="shared" si="60"/>
        <v>6.3664629124104977E-10</v>
      </c>
      <c r="S79" s="64">
        <f t="shared" si="52"/>
        <v>39</v>
      </c>
      <c r="T79" s="3">
        <f t="shared" si="44"/>
        <v>40</v>
      </c>
      <c r="U79" s="63" t="str">
        <f t="shared" si="25"/>
        <v>A</v>
      </c>
      <c r="V79" s="63" t="str">
        <f t="shared" si="45"/>
        <v>A</v>
      </c>
      <c r="W79" s="84" t="str">
        <f t="shared" si="46"/>
        <v>Mensal</v>
      </c>
      <c r="X79" s="3">
        <f t="shared" si="53"/>
        <v>1</v>
      </c>
      <c r="Y79" s="3">
        <f t="shared" si="54"/>
        <v>1</v>
      </c>
      <c r="Z79" s="3">
        <f t="shared" si="55"/>
        <v>1</v>
      </c>
      <c r="AA79" s="3">
        <f t="shared" si="56"/>
        <v>39</v>
      </c>
      <c r="AJ79" s="5">
        <v>71</v>
      </c>
      <c r="AK79" s="130">
        <v>8.0000000000000004E-4</v>
      </c>
    </row>
    <row r="80" spans="1:37" x14ac:dyDescent="0.2">
      <c r="A80" s="76" t="str">
        <f t="shared" si="40"/>
        <v>2026</v>
      </c>
      <c r="B80" s="76" t="str">
        <f t="shared" si="41"/>
        <v>03/2026</v>
      </c>
      <c r="C80" s="55">
        <f t="shared" si="47"/>
        <v>44635</v>
      </c>
      <c r="D80" s="56">
        <f>WORKDAY((F80+14)-1,1,Feriados!$B$3:$B$626)</f>
        <v>44635</v>
      </c>
      <c r="E80" s="56">
        <f t="shared" si="61"/>
        <v>44606</v>
      </c>
      <c r="F80" s="56">
        <f t="shared" si="42"/>
        <v>44620</v>
      </c>
      <c r="G80" s="57">
        <f>VLOOKUP(F80,'Série IPCA'!$K$10:$L$997,2,FALSE)</f>
        <v>0.33141125394370841</v>
      </c>
      <c r="H80" s="58">
        <f>NETWORKDAYS(IF(C79="",D79,C79),D80,Feriados!$B$3:$B$626)-1</f>
        <v>18</v>
      </c>
      <c r="I80" s="58">
        <f>NETWORKDAYS(E80,D80,Feriados!$B$3:$B$626)-1</f>
        <v>18</v>
      </c>
      <c r="J80" s="62">
        <f t="shared" si="43"/>
        <v>1.0033141125394371</v>
      </c>
      <c r="K80" s="62">
        <f t="shared" si="48"/>
        <v>1.0012961657401798</v>
      </c>
      <c r="L80" s="62">
        <f t="shared" si="49"/>
        <v>1.0010076590889676</v>
      </c>
      <c r="M80" s="62">
        <f t="shared" si="50"/>
        <v>1.0028054073217112</v>
      </c>
      <c r="N80" s="62">
        <f t="shared" si="57"/>
        <v>1.0084480759453356</v>
      </c>
      <c r="O80" s="59">
        <f t="shared" si="51"/>
        <v>0</v>
      </c>
      <c r="P80" s="59">
        <f t="shared" si="58"/>
        <v>0</v>
      </c>
      <c r="Q80" s="59">
        <f t="shared" si="59"/>
        <v>0</v>
      </c>
      <c r="R80" s="60">
        <f t="shared" si="60"/>
        <v>6.3664629124104977E-10</v>
      </c>
      <c r="S80" s="64">
        <f t="shared" si="52"/>
        <v>38</v>
      </c>
      <c r="T80" s="3">
        <f t="shared" si="44"/>
        <v>39</v>
      </c>
      <c r="U80" s="63" t="str">
        <f t="shared" si="25"/>
        <v>A</v>
      </c>
      <c r="V80" s="63" t="str">
        <f t="shared" si="45"/>
        <v>A</v>
      </c>
      <c r="W80" s="84" t="str">
        <f t="shared" si="46"/>
        <v>Mensal</v>
      </c>
      <c r="X80" s="3">
        <f t="shared" si="53"/>
        <v>1</v>
      </c>
      <c r="Y80" s="3">
        <f t="shared" si="54"/>
        <v>1</v>
      </c>
      <c r="Z80" s="3">
        <f t="shared" si="55"/>
        <v>1</v>
      </c>
      <c r="AA80" s="3">
        <f t="shared" si="56"/>
        <v>38</v>
      </c>
      <c r="AJ80" s="5">
        <v>72</v>
      </c>
      <c r="AK80" s="130">
        <v>8.0000000000000004E-4</v>
      </c>
    </row>
    <row r="81" spans="1:37" x14ac:dyDescent="0.2">
      <c r="A81" s="76" t="str">
        <f t="shared" si="40"/>
        <v>2026</v>
      </c>
      <c r="B81" s="76" t="str">
        <f t="shared" si="41"/>
        <v>04/2026</v>
      </c>
      <c r="C81" s="55">
        <f t="shared" si="47"/>
        <v>44665</v>
      </c>
      <c r="D81" s="56">
        <f>WORKDAY((F81+14)-1,1,Feriados!$B$3:$B$626)</f>
        <v>44665</v>
      </c>
      <c r="E81" s="56">
        <f t="shared" si="61"/>
        <v>44634</v>
      </c>
      <c r="F81" s="56">
        <f t="shared" si="42"/>
        <v>44651</v>
      </c>
      <c r="G81" s="57">
        <f>VLOOKUP(F81,'Série IPCA'!$K$10:$L$997,2,FALSE)</f>
        <v>0.33141113796118638</v>
      </c>
      <c r="H81" s="58">
        <f>NETWORKDAYS(IF(C80="",D80,C80),D81,Feriados!$B$3:$B$626)-1</f>
        <v>21</v>
      </c>
      <c r="I81" s="58">
        <f>NETWORKDAYS(E81,D81,Feriados!$B$3:$B$626)-1</f>
        <v>21</v>
      </c>
      <c r="J81" s="62">
        <f t="shared" si="43"/>
        <v>1.0033141113796118</v>
      </c>
      <c r="K81" s="62">
        <f t="shared" si="48"/>
        <v>1.0015123566425381</v>
      </c>
      <c r="L81" s="62">
        <f t="shared" si="49"/>
        <v>1.0011757009600362</v>
      </c>
      <c r="M81" s="62">
        <f t="shared" si="50"/>
        <v>1.0032737397821989</v>
      </c>
      <c r="N81" s="62">
        <f t="shared" si="57"/>
        <v>1.0093062858024038</v>
      </c>
      <c r="O81" s="59">
        <f t="shared" si="51"/>
        <v>0</v>
      </c>
      <c r="P81" s="59">
        <f t="shared" si="58"/>
        <v>0</v>
      </c>
      <c r="Q81" s="59">
        <f t="shared" si="59"/>
        <v>0</v>
      </c>
      <c r="R81" s="60">
        <f t="shared" si="60"/>
        <v>6.3664629124104977E-10</v>
      </c>
      <c r="S81" s="64">
        <f t="shared" si="52"/>
        <v>37</v>
      </c>
      <c r="T81" s="3">
        <f t="shared" si="44"/>
        <v>38</v>
      </c>
      <c r="U81" s="63" t="str">
        <f t="shared" si="25"/>
        <v>A</v>
      </c>
      <c r="V81" s="63" t="str">
        <f t="shared" si="45"/>
        <v>A</v>
      </c>
      <c r="W81" s="84" t="str">
        <f t="shared" si="46"/>
        <v>Mensal</v>
      </c>
      <c r="X81" s="3">
        <f t="shared" si="53"/>
        <v>1</v>
      </c>
      <c r="Y81" s="3">
        <f t="shared" si="54"/>
        <v>1</v>
      </c>
      <c r="Z81" s="3">
        <f t="shared" si="55"/>
        <v>1</v>
      </c>
      <c r="AA81" s="3">
        <f t="shared" si="56"/>
        <v>37</v>
      </c>
      <c r="AJ81" s="5">
        <v>73</v>
      </c>
      <c r="AK81" s="130">
        <v>6.9999999999999999E-4</v>
      </c>
    </row>
    <row r="82" spans="1:37" x14ac:dyDescent="0.2">
      <c r="A82" s="76" t="str">
        <f t="shared" si="40"/>
        <v>2026</v>
      </c>
      <c r="B82" s="76" t="str">
        <f t="shared" si="41"/>
        <v>05/2026</v>
      </c>
      <c r="C82" s="55">
        <f t="shared" si="47"/>
        <v>44695</v>
      </c>
      <c r="D82" s="56">
        <f>WORKDAY((F82+14)-1,1,Feriados!$B$3:$B$626)</f>
        <v>44695</v>
      </c>
      <c r="E82" s="56">
        <f t="shared" si="61"/>
        <v>44665</v>
      </c>
      <c r="F82" s="56">
        <f t="shared" si="42"/>
        <v>44681</v>
      </c>
      <c r="G82" s="57">
        <f>VLOOKUP(F82,'Série IPCA'!$K$10:$L$997,2,FALSE)</f>
        <v>0.33141075787770463</v>
      </c>
      <c r="H82" s="58">
        <f>NETWORKDAYS(IF(C81="",D81,C81),D82,Feriados!$B$3:$B$626)-1</f>
        <v>20</v>
      </c>
      <c r="I82" s="58">
        <f>NETWORKDAYS(E82,D82,Feriados!$B$3:$B$626)-1</f>
        <v>20</v>
      </c>
      <c r="J82" s="62">
        <f t="shared" si="43"/>
        <v>1.003314107578777</v>
      </c>
      <c r="K82" s="62">
        <f t="shared" si="48"/>
        <v>1.0014402878224715</v>
      </c>
      <c r="L82" s="62">
        <f t="shared" si="49"/>
        <v>1.0011196838688423</v>
      </c>
      <c r="M82" s="62">
        <f t="shared" si="50"/>
        <v>1.0031176046646693</v>
      </c>
      <c r="N82" s="62">
        <f t="shared" si="57"/>
        <v>1.0090201305190158</v>
      </c>
      <c r="O82" s="59">
        <f t="shared" si="51"/>
        <v>0</v>
      </c>
      <c r="P82" s="59">
        <f t="shared" si="58"/>
        <v>0</v>
      </c>
      <c r="Q82" s="59">
        <f t="shared" si="59"/>
        <v>0</v>
      </c>
      <c r="R82" s="60">
        <f t="shared" si="60"/>
        <v>6.3664629124104977E-10</v>
      </c>
      <c r="S82" s="64">
        <f t="shared" si="52"/>
        <v>36</v>
      </c>
      <c r="T82" s="3">
        <f t="shared" si="44"/>
        <v>37</v>
      </c>
      <c r="U82" s="63" t="str">
        <f t="shared" si="25"/>
        <v>A</v>
      </c>
      <c r="V82" s="63" t="str">
        <f t="shared" si="45"/>
        <v>A</v>
      </c>
      <c r="W82" s="84" t="str">
        <f t="shared" si="46"/>
        <v>Mensal</v>
      </c>
      <c r="X82" s="3">
        <f t="shared" si="53"/>
        <v>1</v>
      </c>
      <c r="Y82" s="3">
        <f t="shared" si="54"/>
        <v>1</v>
      </c>
      <c r="Z82" s="3">
        <f t="shared" si="55"/>
        <v>1</v>
      </c>
      <c r="AA82" s="3">
        <f t="shared" si="56"/>
        <v>36</v>
      </c>
      <c r="AJ82" s="5">
        <v>74</v>
      </c>
      <c r="AK82" s="130">
        <v>6.9999999999999999E-4</v>
      </c>
    </row>
    <row r="83" spans="1:37" x14ac:dyDescent="0.2">
      <c r="A83" s="76" t="str">
        <f t="shared" si="40"/>
        <v>2026</v>
      </c>
      <c r="B83" s="76" t="str">
        <f t="shared" si="41"/>
        <v>06/2026</v>
      </c>
      <c r="C83" s="55">
        <f t="shared" si="47"/>
        <v>44726</v>
      </c>
      <c r="D83" s="56">
        <f>WORKDAY((F83+14)-1,1,Feriados!$B$3:$B$626)</f>
        <v>44726</v>
      </c>
      <c r="E83" s="56">
        <f t="shared" si="61"/>
        <v>44695</v>
      </c>
      <c r="F83" s="56">
        <f t="shared" si="42"/>
        <v>44712</v>
      </c>
      <c r="G83" s="57">
        <f>VLOOKUP(F83,'Série IPCA'!$K$10:$L$997,2,FALSE)</f>
        <v>0.33141034787748858</v>
      </c>
      <c r="H83" s="58">
        <f>NETWORKDAYS(IF(C82="",D82,C82),D83,Feriados!$B$3:$B$626)-1</f>
        <v>20</v>
      </c>
      <c r="I83" s="58">
        <f>NETWORKDAYS(E83,D83,Feriados!$B$3:$B$626)-1</f>
        <v>20</v>
      </c>
      <c r="J83" s="62">
        <f t="shared" si="43"/>
        <v>1.0033141034787749</v>
      </c>
      <c r="K83" s="62">
        <f t="shared" si="48"/>
        <v>1.0014402878224715</v>
      </c>
      <c r="L83" s="62">
        <f t="shared" si="49"/>
        <v>1.0011196838688423</v>
      </c>
      <c r="M83" s="62">
        <f t="shared" si="50"/>
        <v>1.0031176046646693</v>
      </c>
      <c r="N83" s="62">
        <f t="shared" si="57"/>
        <v>1.0090201263956966</v>
      </c>
      <c r="O83" s="59">
        <f t="shared" si="51"/>
        <v>0</v>
      </c>
      <c r="P83" s="59">
        <f t="shared" si="58"/>
        <v>0</v>
      </c>
      <c r="Q83" s="59">
        <f t="shared" si="59"/>
        <v>0</v>
      </c>
      <c r="R83" s="60">
        <f t="shared" si="60"/>
        <v>6.3664629124104977E-10</v>
      </c>
      <c r="S83" s="64">
        <f t="shared" si="52"/>
        <v>35</v>
      </c>
      <c r="T83" s="3">
        <f t="shared" si="44"/>
        <v>36</v>
      </c>
      <c r="U83" s="63" t="str">
        <f t="shared" si="25"/>
        <v>A</v>
      </c>
      <c r="V83" s="63" t="str">
        <f t="shared" si="45"/>
        <v>A</v>
      </c>
      <c r="W83" s="84" t="str">
        <f t="shared" si="46"/>
        <v>Mensal</v>
      </c>
      <c r="X83" s="3">
        <f t="shared" si="53"/>
        <v>1</v>
      </c>
      <c r="Y83" s="3">
        <f t="shared" si="54"/>
        <v>1</v>
      </c>
      <c r="Z83" s="3">
        <f t="shared" si="55"/>
        <v>1</v>
      </c>
      <c r="AA83" s="3">
        <f t="shared" si="56"/>
        <v>35</v>
      </c>
      <c r="AJ83" s="5">
        <v>75</v>
      </c>
      <c r="AK83" s="130">
        <v>6.9999999999999999E-4</v>
      </c>
    </row>
    <row r="84" spans="1:37" x14ac:dyDescent="0.2">
      <c r="A84" s="76" t="str">
        <f t="shared" si="40"/>
        <v>2026</v>
      </c>
      <c r="B84" s="76" t="str">
        <f t="shared" si="41"/>
        <v>07/2026</v>
      </c>
      <c r="C84" s="55">
        <f t="shared" si="47"/>
        <v>44756</v>
      </c>
      <c r="D84" s="56">
        <f>WORKDAY((F84+14)-1,1,Feriados!$B$3:$B$626)</f>
        <v>44756</v>
      </c>
      <c r="E84" s="56">
        <f t="shared" si="61"/>
        <v>44726</v>
      </c>
      <c r="F84" s="56">
        <f t="shared" si="42"/>
        <v>44742</v>
      </c>
      <c r="G84" s="57">
        <f>VLOOKUP(F84,'Série IPCA'!$K$10:$L$997,2,FALSE)</f>
        <v>0.33141003747762549</v>
      </c>
      <c r="H84" s="58">
        <f>NETWORKDAYS(IF(C83="",D83,C83),D84,Feriados!$B$3:$B$626)-1</f>
        <v>22</v>
      </c>
      <c r="I84" s="58">
        <f>NETWORKDAYS(E84,D84,Feriados!$B$3:$B$626)-1</f>
        <v>22</v>
      </c>
      <c r="J84" s="62">
        <f t="shared" si="43"/>
        <v>1.0033141003747763</v>
      </c>
      <c r="K84" s="62">
        <f t="shared" si="48"/>
        <v>1.0015844306490498</v>
      </c>
      <c r="L84" s="62">
        <f t="shared" si="49"/>
        <v>1.0012317211856352</v>
      </c>
      <c r="M84" s="62">
        <f t="shared" si="50"/>
        <v>1.0034298992021382</v>
      </c>
      <c r="N84" s="62">
        <f t="shared" si="57"/>
        <v>1.0095925073403098</v>
      </c>
      <c r="O84" s="59">
        <f t="shared" si="51"/>
        <v>0</v>
      </c>
      <c r="P84" s="59">
        <f t="shared" si="58"/>
        <v>0</v>
      </c>
      <c r="Q84" s="59">
        <f t="shared" si="59"/>
        <v>0</v>
      </c>
      <c r="R84" s="60">
        <f t="shared" si="60"/>
        <v>6.3664629124104977E-10</v>
      </c>
      <c r="S84" s="64">
        <f t="shared" si="52"/>
        <v>34</v>
      </c>
      <c r="T84" s="3">
        <f t="shared" si="44"/>
        <v>35</v>
      </c>
      <c r="U84" s="63" t="str">
        <f t="shared" si="25"/>
        <v>A</v>
      </c>
      <c r="V84" s="63" t="str">
        <f t="shared" si="45"/>
        <v>A</v>
      </c>
      <c r="W84" s="84" t="str">
        <f t="shared" si="46"/>
        <v>Mensal</v>
      </c>
      <c r="X84" s="3">
        <f t="shared" si="53"/>
        <v>1</v>
      </c>
      <c r="Y84" s="3">
        <f t="shared" si="54"/>
        <v>1</v>
      </c>
      <c r="Z84" s="3">
        <f t="shared" si="55"/>
        <v>1</v>
      </c>
      <c r="AA84" s="3">
        <f t="shared" si="56"/>
        <v>34</v>
      </c>
      <c r="AJ84" s="5">
        <v>76</v>
      </c>
      <c r="AK84" s="130">
        <v>6.9999999999999999E-4</v>
      </c>
    </row>
    <row r="85" spans="1:37" x14ac:dyDescent="0.2">
      <c r="A85" s="76" t="str">
        <f t="shared" si="40"/>
        <v>2026</v>
      </c>
      <c r="B85" s="76" t="str">
        <f t="shared" si="41"/>
        <v>08/2026</v>
      </c>
      <c r="C85" s="55">
        <f t="shared" si="47"/>
        <v>44789</v>
      </c>
      <c r="D85" s="56">
        <f>WORKDAY((F85+14)-1,1,Feriados!$B$3:$B$626)</f>
        <v>44789</v>
      </c>
      <c r="E85" s="56">
        <f t="shared" si="61"/>
        <v>44756</v>
      </c>
      <c r="F85" s="56">
        <f t="shared" si="42"/>
        <v>44773</v>
      </c>
      <c r="G85" s="57">
        <f>VLOOKUP(F85,'Série IPCA'!$K$10:$L$997,2,FALSE)</f>
        <v>0.33140988231113733</v>
      </c>
      <c r="H85" s="58">
        <f>NETWORKDAYS(IF(C84="",D84,C84),D85,Feriados!$B$3:$B$626)-1</f>
        <v>23</v>
      </c>
      <c r="I85" s="58">
        <f>NETWORKDAYS(E85,D85,Feriados!$B$3:$B$626)-1</f>
        <v>23</v>
      </c>
      <c r="J85" s="62">
        <f t="shared" si="43"/>
        <v>1.0033140988231113</v>
      </c>
      <c r="K85" s="62">
        <f t="shared" si="48"/>
        <v>1.0016565098423793</v>
      </c>
      <c r="L85" s="62">
        <f t="shared" si="49"/>
        <v>1.0012877445458146</v>
      </c>
      <c r="M85" s="62">
        <f t="shared" si="50"/>
        <v>1.0035860829282697</v>
      </c>
      <c r="N85" s="62">
        <f t="shared" si="57"/>
        <v>1.0098788195606399</v>
      </c>
      <c r="O85" s="59">
        <f t="shared" si="51"/>
        <v>0</v>
      </c>
      <c r="P85" s="59">
        <f t="shared" si="58"/>
        <v>0</v>
      </c>
      <c r="Q85" s="59">
        <f t="shared" si="59"/>
        <v>0</v>
      </c>
      <c r="R85" s="60">
        <f t="shared" si="60"/>
        <v>6.3664629124104977E-10</v>
      </c>
      <c r="S85" s="64">
        <f t="shared" si="52"/>
        <v>33</v>
      </c>
      <c r="T85" s="3">
        <f t="shared" si="44"/>
        <v>34</v>
      </c>
      <c r="U85" s="63" t="str">
        <f t="shared" si="25"/>
        <v>A</v>
      </c>
      <c r="V85" s="63" t="str">
        <f t="shared" si="45"/>
        <v>A</v>
      </c>
      <c r="W85" s="84" t="str">
        <f t="shared" si="46"/>
        <v>Mensal</v>
      </c>
      <c r="X85" s="3">
        <f t="shared" si="53"/>
        <v>1</v>
      </c>
      <c r="Y85" s="3">
        <f t="shared" si="54"/>
        <v>1</v>
      </c>
      <c r="Z85" s="3">
        <f t="shared" si="55"/>
        <v>1</v>
      </c>
      <c r="AA85" s="3">
        <f t="shared" si="56"/>
        <v>33</v>
      </c>
      <c r="AJ85" s="5">
        <v>77</v>
      </c>
      <c r="AK85" s="130">
        <v>6.9999999999999999E-4</v>
      </c>
    </row>
    <row r="86" spans="1:37" x14ac:dyDescent="0.2">
      <c r="A86" s="76" t="str">
        <f t="shared" si="40"/>
        <v>2026</v>
      </c>
      <c r="B86" s="76" t="str">
        <f t="shared" si="41"/>
        <v>09/2026</v>
      </c>
      <c r="C86" s="55">
        <f t="shared" si="47"/>
        <v>44818</v>
      </c>
      <c r="D86" s="56">
        <f>WORKDAY((F86+14)-1,1,Feriados!$B$3:$B$626)</f>
        <v>44818</v>
      </c>
      <c r="E86" s="56">
        <f t="shared" si="61"/>
        <v>44787</v>
      </c>
      <c r="F86" s="56">
        <f t="shared" si="42"/>
        <v>44804</v>
      </c>
      <c r="G86" s="57">
        <f>VLOOKUP(F86,'Série IPCA'!$K$10:$L$997,2,FALSE)</f>
        <v>0.33140988344274602</v>
      </c>
      <c r="H86" s="58">
        <f>NETWORKDAYS(IF(C85="",D85,C85),D86,Feriados!$B$3:$B$626)-1</f>
        <v>20</v>
      </c>
      <c r="I86" s="58">
        <f>NETWORKDAYS(E86,D86,Feriados!$B$3:$B$626)-1</f>
        <v>20</v>
      </c>
      <c r="J86" s="62">
        <f t="shared" si="43"/>
        <v>1.0033140988344276</v>
      </c>
      <c r="K86" s="62">
        <f t="shared" si="48"/>
        <v>1.0014402878224715</v>
      </c>
      <c r="L86" s="62">
        <f t="shared" si="49"/>
        <v>1.0011196838688423</v>
      </c>
      <c r="M86" s="62">
        <f t="shared" si="50"/>
        <v>1.0031176046646693</v>
      </c>
      <c r="N86" s="62">
        <f t="shared" si="57"/>
        <v>1.0090201217249359</v>
      </c>
      <c r="O86" s="59">
        <f t="shared" si="51"/>
        <v>0</v>
      </c>
      <c r="P86" s="59">
        <f t="shared" si="58"/>
        <v>0</v>
      </c>
      <c r="Q86" s="59">
        <f t="shared" si="59"/>
        <v>0</v>
      </c>
      <c r="R86" s="60">
        <f t="shared" si="60"/>
        <v>6.3664629124104977E-10</v>
      </c>
      <c r="S86" s="64">
        <f t="shared" si="52"/>
        <v>32</v>
      </c>
      <c r="T86" s="3">
        <f t="shared" si="44"/>
        <v>33</v>
      </c>
      <c r="U86" s="63" t="str">
        <f t="shared" si="25"/>
        <v>A</v>
      </c>
      <c r="V86" s="63" t="str">
        <f t="shared" si="45"/>
        <v>A</v>
      </c>
      <c r="W86" s="84" t="str">
        <f t="shared" si="46"/>
        <v>Mensal</v>
      </c>
      <c r="X86" s="3">
        <f t="shared" si="53"/>
        <v>1</v>
      </c>
      <c r="Y86" s="3">
        <f t="shared" si="54"/>
        <v>1</v>
      </c>
      <c r="Z86" s="3">
        <f t="shared" si="55"/>
        <v>1</v>
      </c>
      <c r="AA86" s="3">
        <f t="shared" si="56"/>
        <v>32</v>
      </c>
      <c r="AJ86" s="5">
        <v>78</v>
      </c>
      <c r="AK86" s="130">
        <v>6.9999999999999999E-4</v>
      </c>
    </row>
    <row r="87" spans="1:37" x14ac:dyDescent="0.2">
      <c r="A87" s="76" t="str">
        <f t="shared" si="40"/>
        <v>2026</v>
      </c>
      <c r="B87" s="76" t="str">
        <f t="shared" si="41"/>
        <v>10/2026</v>
      </c>
      <c r="C87" s="55">
        <f t="shared" si="47"/>
        <v>44848</v>
      </c>
      <c r="D87" s="56">
        <f>WORKDAY((F87+14)-1,1,Feriados!$B$3:$B$626)</f>
        <v>44848</v>
      </c>
      <c r="E87" s="56">
        <f t="shared" si="61"/>
        <v>44818</v>
      </c>
      <c r="F87" s="56">
        <f t="shared" si="42"/>
        <v>44834</v>
      </c>
      <c r="G87" s="57">
        <f>VLOOKUP(F87,'Série IPCA'!$K$10:$L$997,2,FALSE)</f>
        <v>0.33140999828587098</v>
      </c>
      <c r="H87" s="58">
        <f>NETWORKDAYS(IF(C86="",D86,C86),D87,Feriados!$B$3:$B$626)-1</f>
        <v>21</v>
      </c>
      <c r="I87" s="58">
        <f>NETWORKDAYS(E87,D87,Feriados!$B$3:$B$626)-1</f>
        <v>21</v>
      </c>
      <c r="J87" s="62">
        <f t="shared" si="43"/>
        <v>1.0033140999828587</v>
      </c>
      <c r="K87" s="62">
        <f t="shared" si="48"/>
        <v>1.0015123566425381</v>
      </c>
      <c r="L87" s="62">
        <f t="shared" si="49"/>
        <v>1.0011757009600362</v>
      </c>
      <c r="M87" s="62">
        <f t="shared" si="50"/>
        <v>1.0032737397821989</v>
      </c>
      <c r="N87" s="62">
        <f t="shared" si="57"/>
        <v>1.0093062743375849</v>
      </c>
      <c r="O87" s="59">
        <f t="shared" si="51"/>
        <v>0</v>
      </c>
      <c r="P87" s="59">
        <f t="shared" si="58"/>
        <v>0</v>
      </c>
      <c r="Q87" s="59">
        <f t="shared" si="59"/>
        <v>0</v>
      </c>
      <c r="R87" s="60">
        <f t="shared" si="60"/>
        <v>6.3664629124104977E-10</v>
      </c>
      <c r="S87" s="64">
        <f t="shared" si="52"/>
        <v>31</v>
      </c>
      <c r="T87" s="3">
        <f t="shared" si="44"/>
        <v>32</v>
      </c>
      <c r="U87" s="63" t="str">
        <f t="shared" si="25"/>
        <v>A</v>
      </c>
      <c r="V87" s="63" t="str">
        <f t="shared" si="45"/>
        <v>A</v>
      </c>
      <c r="W87" s="84" t="str">
        <f t="shared" si="46"/>
        <v>Mensal</v>
      </c>
      <c r="X87" s="3">
        <f t="shared" si="53"/>
        <v>1</v>
      </c>
      <c r="Y87" s="3">
        <f t="shared" si="54"/>
        <v>1</v>
      </c>
      <c r="Z87" s="3">
        <f t="shared" si="55"/>
        <v>1</v>
      </c>
      <c r="AA87" s="3">
        <f t="shared" si="56"/>
        <v>31</v>
      </c>
      <c r="AJ87" s="5">
        <v>79</v>
      </c>
      <c r="AK87" s="130">
        <v>6.9999999999999999E-4</v>
      </c>
    </row>
    <row r="88" spans="1:37" x14ac:dyDescent="0.2">
      <c r="A88" s="76" t="str">
        <f t="shared" si="40"/>
        <v>2026</v>
      </c>
      <c r="B88" s="76" t="str">
        <f t="shared" si="41"/>
        <v>11/2026</v>
      </c>
      <c r="C88" s="55">
        <f t="shared" si="47"/>
        <v>44880</v>
      </c>
      <c r="D88" s="56">
        <f>WORKDAY((F88+14)-1,1,Feriados!$B$3:$B$626)</f>
        <v>44880</v>
      </c>
      <c r="E88" s="56">
        <f t="shared" si="61"/>
        <v>44848</v>
      </c>
      <c r="F88" s="56">
        <f t="shared" si="42"/>
        <v>44865</v>
      </c>
      <c r="G88" s="57">
        <f>VLOOKUP(F88,'Série IPCA'!$K$10:$L$997,2,FALSE)</f>
        <v>0.33141016219366493</v>
      </c>
      <c r="H88" s="58">
        <f>NETWORKDAYS(IF(C87="",D87,C87),D88,Feriados!$B$3:$B$626)-1</f>
        <v>21</v>
      </c>
      <c r="I88" s="58">
        <f>NETWORKDAYS(E88,D88,Feriados!$B$3:$B$626)-1</f>
        <v>21</v>
      </c>
      <c r="J88" s="62">
        <f t="shared" si="43"/>
        <v>1.0033141016219367</v>
      </c>
      <c r="K88" s="62">
        <f t="shared" si="48"/>
        <v>1.0015123566425381</v>
      </c>
      <c r="L88" s="62">
        <f t="shared" si="49"/>
        <v>1.0011757009600362</v>
      </c>
      <c r="M88" s="62">
        <f t="shared" si="50"/>
        <v>1.0032737397821989</v>
      </c>
      <c r="N88" s="62">
        <f t="shared" si="57"/>
        <v>1.0093062759864522</v>
      </c>
      <c r="O88" s="59">
        <f t="shared" si="51"/>
        <v>0</v>
      </c>
      <c r="P88" s="59">
        <f t="shared" si="58"/>
        <v>0</v>
      </c>
      <c r="Q88" s="59">
        <f t="shared" si="59"/>
        <v>0</v>
      </c>
      <c r="R88" s="60">
        <f t="shared" si="60"/>
        <v>6.3664629124104977E-10</v>
      </c>
      <c r="S88" s="64">
        <f t="shared" si="52"/>
        <v>30</v>
      </c>
      <c r="T88" s="3">
        <f t="shared" si="44"/>
        <v>31</v>
      </c>
      <c r="U88" s="63" t="str">
        <f t="shared" si="25"/>
        <v>A</v>
      </c>
      <c r="V88" s="63" t="str">
        <f t="shared" si="45"/>
        <v>A</v>
      </c>
      <c r="W88" s="84" t="str">
        <f t="shared" si="46"/>
        <v>Mensal</v>
      </c>
      <c r="X88" s="3">
        <f t="shared" si="53"/>
        <v>1</v>
      </c>
      <c r="Y88" s="3">
        <f t="shared" si="54"/>
        <v>1</v>
      </c>
      <c r="Z88" s="3">
        <f t="shared" si="55"/>
        <v>1</v>
      </c>
      <c r="AA88" s="3">
        <f t="shared" si="56"/>
        <v>30</v>
      </c>
      <c r="AJ88" s="5">
        <v>80</v>
      </c>
      <c r="AK88" s="130">
        <v>6.9999999999999999E-4</v>
      </c>
    </row>
    <row r="89" spans="1:37" x14ac:dyDescent="0.2">
      <c r="A89" s="76" t="str">
        <f t="shared" si="40"/>
        <v>2026</v>
      </c>
      <c r="B89" s="76" t="str">
        <f t="shared" si="41"/>
        <v>12/2026</v>
      </c>
      <c r="C89" s="55">
        <f t="shared" si="47"/>
        <v>44909</v>
      </c>
      <c r="D89" s="56">
        <f>WORKDAY((F89+14)-1,1,Feriados!$B$3:$B$626)</f>
        <v>44909</v>
      </c>
      <c r="E89" s="56">
        <f t="shared" si="61"/>
        <v>44879</v>
      </c>
      <c r="F89" s="56">
        <f t="shared" si="42"/>
        <v>44895</v>
      </c>
      <c r="G89" s="57">
        <f>VLOOKUP(F89,'Série IPCA'!$K$10:$L$997,2,FALSE)</f>
        <v>0.33141031248669534</v>
      </c>
      <c r="H89" s="58">
        <f>NETWORKDAYS(IF(C88="",D88,C88),D89,Feriados!$B$3:$B$626)-1</f>
        <v>21</v>
      </c>
      <c r="I89" s="58">
        <f>NETWORKDAYS(E89,D89,Feriados!$B$3:$B$626)-1</f>
        <v>21</v>
      </c>
      <c r="J89" s="62">
        <f t="shared" si="43"/>
        <v>1.0033141031248669</v>
      </c>
      <c r="K89" s="62">
        <f t="shared" si="48"/>
        <v>1.0015123566425381</v>
      </c>
      <c r="L89" s="62">
        <f t="shared" si="49"/>
        <v>1.0011757009600362</v>
      </c>
      <c r="M89" s="62">
        <f t="shared" si="50"/>
        <v>1.0032737397821989</v>
      </c>
      <c r="N89" s="62">
        <f t="shared" si="57"/>
        <v>1.0093062774983583</v>
      </c>
      <c r="O89" s="59">
        <f t="shared" si="51"/>
        <v>0</v>
      </c>
      <c r="P89" s="59">
        <f t="shared" si="58"/>
        <v>0</v>
      </c>
      <c r="Q89" s="59">
        <f t="shared" si="59"/>
        <v>0</v>
      </c>
      <c r="R89" s="60">
        <f t="shared" si="60"/>
        <v>6.3664629124104977E-10</v>
      </c>
      <c r="S89" s="64">
        <f t="shared" si="52"/>
        <v>29</v>
      </c>
      <c r="T89" s="3">
        <f t="shared" si="44"/>
        <v>30</v>
      </c>
      <c r="U89" s="63" t="str">
        <f t="shared" si="25"/>
        <v>A</v>
      </c>
      <c r="V89" s="63" t="str">
        <f t="shared" si="45"/>
        <v>A</v>
      </c>
      <c r="W89" s="84" t="str">
        <f t="shared" si="46"/>
        <v>Mensal</v>
      </c>
      <c r="X89" s="3">
        <f t="shared" si="53"/>
        <v>1</v>
      </c>
      <c r="Y89" s="3">
        <f t="shared" si="54"/>
        <v>1</v>
      </c>
      <c r="Z89" s="3">
        <f t="shared" si="55"/>
        <v>1</v>
      </c>
      <c r="AA89" s="3">
        <f t="shared" si="56"/>
        <v>29</v>
      </c>
      <c r="AJ89" s="5">
        <v>81</v>
      </c>
      <c r="AK89" s="130">
        <v>6.9999999999999999E-4</v>
      </c>
    </row>
    <row r="90" spans="1:37" x14ac:dyDescent="0.2">
      <c r="A90" s="76" t="str">
        <f t="shared" si="40"/>
        <v>2027</v>
      </c>
      <c r="B90" s="76" t="str">
        <f t="shared" si="41"/>
        <v>01/2027</v>
      </c>
      <c r="C90" s="55">
        <f t="shared" si="47"/>
        <v>44940</v>
      </c>
      <c r="D90" s="56">
        <f>WORKDAY((F90+14)-1,1,Feriados!$B$3:$B$626)</f>
        <v>44940</v>
      </c>
      <c r="E90" s="56">
        <f t="shared" si="61"/>
        <v>44909</v>
      </c>
      <c r="F90" s="56">
        <f t="shared" si="42"/>
        <v>44926</v>
      </c>
      <c r="G90" s="57">
        <f>VLOOKUP(F90,'Série IPCA'!$K$10:$L$997,2,FALSE)</f>
        <v>0.33141040565924751</v>
      </c>
      <c r="H90" s="58">
        <f>NETWORKDAYS(IF(C89="",D89,C89),D90,Feriados!$B$3:$B$626)-1</f>
        <v>21</v>
      </c>
      <c r="I90" s="58">
        <f>NETWORKDAYS(E90,D90,Feriados!$B$3:$B$626)-1</f>
        <v>21</v>
      </c>
      <c r="J90" s="62">
        <f t="shared" si="43"/>
        <v>1.0033141040565925</v>
      </c>
      <c r="K90" s="62">
        <f t="shared" si="48"/>
        <v>1.0015123566425381</v>
      </c>
      <c r="L90" s="62">
        <f t="shared" si="49"/>
        <v>1.0011757009600362</v>
      </c>
      <c r="M90" s="62">
        <f t="shared" si="50"/>
        <v>1.0032737397821989</v>
      </c>
      <c r="N90" s="62">
        <f t="shared" si="57"/>
        <v>1.0093062784356486</v>
      </c>
      <c r="O90" s="59">
        <f t="shared" si="51"/>
        <v>0</v>
      </c>
      <c r="P90" s="59">
        <f t="shared" si="58"/>
        <v>0</v>
      </c>
      <c r="Q90" s="59">
        <f t="shared" si="59"/>
        <v>0</v>
      </c>
      <c r="R90" s="60">
        <f t="shared" si="60"/>
        <v>6.3664629124104977E-10</v>
      </c>
      <c r="S90" s="64">
        <f t="shared" si="52"/>
        <v>28</v>
      </c>
      <c r="T90" s="3">
        <f t="shared" si="44"/>
        <v>29</v>
      </c>
      <c r="U90" s="63" t="str">
        <f t="shared" si="25"/>
        <v>A</v>
      </c>
      <c r="V90" s="63" t="str">
        <f t="shared" si="45"/>
        <v>A</v>
      </c>
      <c r="W90" s="84" t="str">
        <f t="shared" si="46"/>
        <v>Mensal</v>
      </c>
      <c r="X90" s="3">
        <f t="shared" si="53"/>
        <v>1</v>
      </c>
      <c r="Y90" s="3">
        <f t="shared" si="54"/>
        <v>1</v>
      </c>
      <c r="Z90" s="3">
        <f t="shared" si="55"/>
        <v>1</v>
      </c>
      <c r="AA90" s="3">
        <f t="shared" si="56"/>
        <v>28</v>
      </c>
      <c r="AJ90" s="5">
        <v>82</v>
      </c>
      <c r="AK90" s="130">
        <v>6.9999999999999999E-4</v>
      </c>
    </row>
    <row r="91" spans="1:37" x14ac:dyDescent="0.2">
      <c r="A91" s="76" t="str">
        <f t="shared" si="40"/>
        <v>2027</v>
      </c>
      <c r="B91" s="76" t="str">
        <f t="shared" si="41"/>
        <v>02/2027</v>
      </c>
      <c r="C91" s="55">
        <f t="shared" si="47"/>
        <v>44971</v>
      </c>
      <c r="D91" s="56">
        <f>WORKDAY((F91+14)-1,1,Feriados!$B$3:$B$626)</f>
        <v>44971</v>
      </c>
      <c r="E91" s="56">
        <f t="shared" si="61"/>
        <v>44940</v>
      </c>
      <c r="F91" s="56">
        <f t="shared" si="42"/>
        <v>44957</v>
      </c>
      <c r="G91" s="57">
        <f>VLOOKUP(F91,'Série IPCA'!$K$10:$L$997,2,FALSE)</f>
        <v>0.33141042554067074</v>
      </c>
      <c r="H91" s="58">
        <f>NETWORKDAYS(IF(C90="",D90,C90),D91,Feriados!$B$3:$B$626)-1</f>
        <v>19</v>
      </c>
      <c r="I91" s="58">
        <f>NETWORKDAYS(E91,D91,Feriados!$B$3:$B$626)-1</f>
        <v>19</v>
      </c>
      <c r="J91" s="62">
        <f t="shared" si="43"/>
        <v>1.0033141042554068</v>
      </c>
      <c r="K91" s="62">
        <f t="shared" si="48"/>
        <v>1.0013682241884765</v>
      </c>
      <c r="L91" s="62">
        <f t="shared" si="49"/>
        <v>1.0010636699118778</v>
      </c>
      <c r="M91" s="62">
        <f t="shared" si="50"/>
        <v>1.0029614938457672</v>
      </c>
      <c r="N91" s="62">
        <f t="shared" si="57"/>
        <v>1.0087340568455005</v>
      </c>
      <c r="O91" s="59">
        <f t="shared" si="51"/>
        <v>0</v>
      </c>
      <c r="P91" s="59">
        <f t="shared" si="58"/>
        <v>0</v>
      </c>
      <c r="Q91" s="59">
        <f t="shared" si="59"/>
        <v>0</v>
      </c>
      <c r="R91" s="60">
        <f t="shared" si="60"/>
        <v>6.3664629124104977E-10</v>
      </c>
      <c r="S91" s="64">
        <f t="shared" si="52"/>
        <v>27</v>
      </c>
      <c r="T91" s="3">
        <f t="shared" si="44"/>
        <v>28</v>
      </c>
      <c r="U91" s="63" t="str">
        <f t="shared" si="25"/>
        <v>A</v>
      </c>
      <c r="V91" s="63" t="str">
        <f t="shared" si="45"/>
        <v>A</v>
      </c>
      <c r="W91" s="84" t="str">
        <f t="shared" si="46"/>
        <v>Mensal</v>
      </c>
      <c r="X91" s="3">
        <f t="shared" si="53"/>
        <v>1</v>
      </c>
      <c r="Y91" s="3">
        <f t="shared" si="54"/>
        <v>1</v>
      </c>
      <c r="Z91" s="3">
        <f t="shared" si="55"/>
        <v>1</v>
      </c>
      <c r="AA91" s="3">
        <f t="shared" si="56"/>
        <v>27</v>
      </c>
      <c r="AJ91" s="5">
        <v>83</v>
      </c>
      <c r="AK91" s="130">
        <v>6.9999999999999999E-4</v>
      </c>
    </row>
    <row r="92" spans="1:37" x14ac:dyDescent="0.2">
      <c r="A92" s="76" t="str">
        <f t="shared" si="40"/>
        <v>2027</v>
      </c>
      <c r="B92" s="76" t="str">
        <f t="shared" si="41"/>
        <v>03/2027</v>
      </c>
      <c r="C92" s="55">
        <f t="shared" si="47"/>
        <v>44999</v>
      </c>
      <c r="D92" s="56">
        <f>WORKDAY((F92+14)-1,1,Feriados!$B$3:$B$626)</f>
        <v>44999</v>
      </c>
      <c r="E92" s="56">
        <f t="shared" si="61"/>
        <v>44971</v>
      </c>
      <c r="F92" s="56">
        <f t="shared" si="42"/>
        <v>44985</v>
      </c>
      <c r="G92" s="57">
        <f>VLOOKUP(F92,'Série IPCA'!$K$10:$L$997,2,FALSE)</f>
        <v>0.33141038375481219</v>
      </c>
      <c r="H92" s="58">
        <f>NETWORKDAYS(IF(C91="",D91,C91),D92,Feriados!$B$3:$B$626)-1</f>
        <v>20</v>
      </c>
      <c r="I92" s="58">
        <f>NETWORKDAYS(E92,D92,Feriados!$B$3:$B$626)-1</f>
        <v>20</v>
      </c>
      <c r="J92" s="62">
        <f t="shared" si="43"/>
        <v>1.0033141038375482</v>
      </c>
      <c r="K92" s="62">
        <f t="shared" si="48"/>
        <v>1.0014402878224715</v>
      </c>
      <c r="L92" s="62">
        <f t="shared" si="49"/>
        <v>1.0011196838688423</v>
      </c>
      <c r="M92" s="62">
        <f t="shared" si="50"/>
        <v>1.0031176046646693</v>
      </c>
      <c r="N92" s="62">
        <f t="shared" si="57"/>
        <v>1.0090201267565102</v>
      </c>
      <c r="O92" s="59">
        <f t="shared" si="51"/>
        <v>0</v>
      </c>
      <c r="P92" s="59">
        <f t="shared" si="58"/>
        <v>0</v>
      </c>
      <c r="Q92" s="59">
        <f t="shared" si="59"/>
        <v>0</v>
      </c>
      <c r="R92" s="60">
        <f t="shared" si="60"/>
        <v>6.3664629124104977E-10</v>
      </c>
      <c r="S92" s="64">
        <f t="shared" si="52"/>
        <v>26</v>
      </c>
      <c r="T92" s="3">
        <f t="shared" si="44"/>
        <v>27</v>
      </c>
      <c r="U92" s="63" t="str">
        <f t="shared" si="25"/>
        <v>A</v>
      </c>
      <c r="V92" s="63" t="str">
        <f t="shared" si="45"/>
        <v>A</v>
      </c>
      <c r="W92" s="84" t="str">
        <f t="shared" si="46"/>
        <v>Mensal</v>
      </c>
      <c r="X92" s="3">
        <f t="shared" si="53"/>
        <v>1</v>
      </c>
      <c r="Y92" s="3">
        <f t="shared" si="54"/>
        <v>1</v>
      </c>
      <c r="Z92" s="3">
        <f t="shared" si="55"/>
        <v>1</v>
      </c>
      <c r="AA92" s="3">
        <f t="shared" si="56"/>
        <v>26</v>
      </c>
      <c r="AJ92" s="5">
        <v>84</v>
      </c>
      <c r="AK92" s="130">
        <v>6.9999999999999999E-4</v>
      </c>
    </row>
    <row r="93" spans="1:37" x14ac:dyDescent="0.2">
      <c r="A93" s="76" t="str">
        <f t="shared" si="40"/>
        <v>2027</v>
      </c>
      <c r="B93" s="76" t="str">
        <f t="shared" si="41"/>
        <v>04/2027</v>
      </c>
      <c r="C93" s="55">
        <f t="shared" si="47"/>
        <v>45030</v>
      </c>
      <c r="D93" s="56">
        <f>WORKDAY((F93+14)-1,1,Feriados!$B$3:$B$626)</f>
        <v>45030</v>
      </c>
      <c r="E93" s="56">
        <f t="shared" si="61"/>
        <v>44999</v>
      </c>
      <c r="F93" s="56">
        <f t="shared" si="42"/>
        <v>45016</v>
      </c>
      <c r="G93" s="57">
        <f>VLOOKUP(F93,'Série IPCA'!$K$10:$L$997,2,FALSE)</f>
        <v>0.33141031123907089</v>
      </c>
      <c r="H93" s="58">
        <f>NETWORKDAYS(IF(C92="",D92,C92),D93,Feriados!$B$3:$B$626)-1</f>
        <v>22</v>
      </c>
      <c r="I93" s="58">
        <f>NETWORKDAYS(E93,D93,Feriados!$B$3:$B$626)-1</f>
        <v>22</v>
      </c>
      <c r="J93" s="62">
        <f t="shared" si="43"/>
        <v>1.0033141031123907</v>
      </c>
      <c r="K93" s="62">
        <f t="shared" si="48"/>
        <v>1.0015844306490498</v>
      </c>
      <c r="L93" s="62">
        <f t="shared" si="49"/>
        <v>1.0012317211856352</v>
      </c>
      <c r="M93" s="62">
        <f t="shared" si="50"/>
        <v>1.0034298992021382</v>
      </c>
      <c r="N93" s="62">
        <f t="shared" si="57"/>
        <v>1.0095925100950551</v>
      </c>
      <c r="O93" s="59">
        <f t="shared" si="51"/>
        <v>0</v>
      </c>
      <c r="P93" s="59">
        <f t="shared" si="58"/>
        <v>0</v>
      </c>
      <c r="Q93" s="59">
        <f t="shared" si="59"/>
        <v>0</v>
      </c>
      <c r="R93" s="60">
        <f t="shared" si="60"/>
        <v>6.3664629124104977E-10</v>
      </c>
      <c r="S93" s="64">
        <f t="shared" si="52"/>
        <v>25</v>
      </c>
      <c r="T93" s="3">
        <f t="shared" si="44"/>
        <v>26</v>
      </c>
      <c r="U93" s="63" t="str">
        <f t="shared" si="25"/>
        <v>A</v>
      </c>
      <c r="V93" s="63" t="str">
        <f t="shared" si="45"/>
        <v>A</v>
      </c>
      <c r="W93" s="84" t="str">
        <f t="shared" si="46"/>
        <v>Mensal</v>
      </c>
      <c r="X93" s="3">
        <f t="shared" si="53"/>
        <v>1</v>
      </c>
      <c r="Y93" s="3">
        <f t="shared" si="54"/>
        <v>1</v>
      </c>
      <c r="Z93" s="3">
        <f t="shared" si="55"/>
        <v>1</v>
      </c>
      <c r="AA93" s="3">
        <f t="shared" si="56"/>
        <v>25</v>
      </c>
      <c r="AJ93" s="5">
        <v>85</v>
      </c>
      <c r="AK93" s="130">
        <v>5.9999999999999995E-4</v>
      </c>
    </row>
    <row r="94" spans="1:37" x14ac:dyDescent="0.2">
      <c r="A94" s="76" t="str">
        <f t="shared" si="40"/>
        <v>2027</v>
      </c>
      <c r="B94" s="76" t="str">
        <f t="shared" si="41"/>
        <v>05/2027</v>
      </c>
      <c r="C94" s="55">
        <f t="shared" si="47"/>
        <v>45062</v>
      </c>
      <c r="D94" s="56">
        <f>WORKDAY((F94+14)-1,1,Feriados!$B$3:$B$626)</f>
        <v>45062</v>
      </c>
      <c r="E94" s="56">
        <f t="shared" si="61"/>
        <v>45030</v>
      </c>
      <c r="F94" s="56">
        <f t="shared" si="42"/>
        <v>45046</v>
      </c>
      <c r="G94" s="57">
        <f>VLOOKUP(F94,'Série IPCA'!$K$10:$L$997,2,FALSE)</f>
        <v>0.33141024234556121</v>
      </c>
      <c r="H94" s="58">
        <f>NETWORKDAYS(IF(C93="",D93,C93),D94,Feriados!$B$3:$B$626)-1</f>
        <v>21</v>
      </c>
      <c r="I94" s="58">
        <f>NETWORKDAYS(E94,D94,Feriados!$B$3:$B$626)-1</f>
        <v>21</v>
      </c>
      <c r="J94" s="62">
        <f t="shared" si="43"/>
        <v>1.0033141024234555</v>
      </c>
      <c r="K94" s="62">
        <f t="shared" si="48"/>
        <v>1.0015123566425381</v>
      </c>
      <c r="L94" s="62">
        <f t="shared" si="49"/>
        <v>1.0011757009600362</v>
      </c>
      <c r="M94" s="62">
        <f t="shared" si="50"/>
        <v>1.0032737397821989</v>
      </c>
      <c r="N94" s="62">
        <f t="shared" si="57"/>
        <v>1.0093062767927579</v>
      </c>
      <c r="O94" s="59">
        <f t="shared" si="51"/>
        <v>0</v>
      </c>
      <c r="P94" s="59">
        <f t="shared" si="58"/>
        <v>0</v>
      </c>
      <c r="Q94" s="59">
        <f t="shared" si="59"/>
        <v>0</v>
      </c>
      <c r="R94" s="60">
        <f t="shared" si="60"/>
        <v>6.3664629124104977E-10</v>
      </c>
      <c r="S94" s="64">
        <f t="shared" si="52"/>
        <v>24</v>
      </c>
      <c r="T94" s="3">
        <f t="shared" si="44"/>
        <v>25</v>
      </c>
      <c r="U94" s="63" t="str">
        <f t="shared" si="25"/>
        <v>A</v>
      </c>
      <c r="V94" s="63" t="str">
        <f t="shared" si="45"/>
        <v>A</v>
      </c>
      <c r="W94" s="84" t="str">
        <f t="shared" si="46"/>
        <v>Mensal</v>
      </c>
      <c r="X94" s="3">
        <f t="shared" si="53"/>
        <v>1</v>
      </c>
      <c r="Y94" s="3">
        <f t="shared" si="54"/>
        <v>1</v>
      </c>
      <c r="Z94" s="3">
        <f t="shared" si="55"/>
        <v>1</v>
      </c>
      <c r="AA94" s="3">
        <f t="shared" si="56"/>
        <v>24</v>
      </c>
      <c r="AJ94" s="5">
        <v>86</v>
      </c>
      <c r="AK94" s="130">
        <v>5.9999999999999995E-4</v>
      </c>
    </row>
    <row r="95" spans="1:37" x14ac:dyDescent="0.2">
      <c r="A95" s="76" t="str">
        <f t="shared" si="40"/>
        <v>2027</v>
      </c>
      <c r="B95" s="76" t="str">
        <f t="shared" si="41"/>
        <v>06/2027</v>
      </c>
      <c r="C95" s="55">
        <f t="shared" si="47"/>
        <v>45091</v>
      </c>
      <c r="D95" s="56">
        <f>WORKDAY((F95+14)-1,1,Feriados!$B$3:$B$626)</f>
        <v>45091</v>
      </c>
      <c r="E95" s="56">
        <f t="shared" si="61"/>
        <v>45060</v>
      </c>
      <c r="F95" s="56">
        <f t="shared" si="42"/>
        <v>45077</v>
      </c>
      <c r="G95" s="57">
        <f>VLOOKUP(F95,'Série IPCA'!$K$10:$L$997,2,FALSE)</f>
        <v>0.33141019938454924</v>
      </c>
      <c r="H95" s="58">
        <f>NETWORKDAYS(IF(C94="",D94,C94),D95,Feriados!$B$3:$B$626)-1</f>
        <v>20</v>
      </c>
      <c r="I95" s="58">
        <f>NETWORKDAYS(E95,D95,Feriados!$B$3:$B$626)-1</f>
        <v>20</v>
      </c>
      <c r="J95" s="62">
        <f t="shared" si="43"/>
        <v>1.0033141019938454</v>
      </c>
      <c r="K95" s="62">
        <f t="shared" si="48"/>
        <v>1.0014402878224715</v>
      </c>
      <c r="L95" s="62">
        <f t="shared" si="49"/>
        <v>1.0011196838688423</v>
      </c>
      <c r="M95" s="62">
        <f t="shared" si="50"/>
        <v>1.0031176046646693</v>
      </c>
      <c r="N95" s="62">
        <f t="shared" si="57"/>
        <v>1.0090201249023218</v>
      </c>
      <c r="O95" s="59">
        <f t="shared" si="51"/>
        <v>0</v>
      </c>
      <c r="P95" s="59">
        <f t="shared" si="58"/>
        <v>0</v>
      </c>
      <c r="Q95" s="59">
        <f t="shared" si="59"/>
        <v>0</v>
      </c>
      <c r="R95" s="60">
        <f t="shared" si="60"/>
        <v>6.3664629124104977E-10</v>
      </c>
      <c r="S95" s="64">
        <f t="shared" si="52"/>
        <v>23</v>
      </c>
      <c r="T95" s="3">
        <f t="shared" si="44"/>
        <v>24</v>
      </c>
      <c r="U95" s="63" t="str">
        <f t="shared" si="25"/>
        <v>A</v>
      </c>
      <c r="V95" s="63" t="str">
        <f t="shared" si="45"/>
        <v>A</v>
      </c>
      <c r="W95" s="84" t="str">
        <f t="shared" si="46"/>
        <v>Mensal</v>
      </c>
      <c r="X95" s="3">
        <f t="shared" si="53"/>
        <v>1</v>
      </c>
      <c r="Y95" s="3">
        <f t="shared" si="54"/>
        <v>1</v>
      </c>
      <c r="Z95" s="3">
        <f t="shared" si="55"/>
        <v>1</v>
      </c>
      <c r="AA95" s="3">
        <f t="shared" si="56"/>
        <v>23</v>
      </c>
      <c r="AJ95" s="5">
        <v>87</v>
      </c>
      <c r="AK95" s="130">
        <v>5.9999999999999995E-4</v>
      </c>
    </row>
    <row r="96" spans="1:37" x14ac:dyDescent="0.2">
      <c r="A96" s="76" t="str">
        <f t="shared" si="40"/>
        <v>2027</v>
      </c>
      <c r="B96" s="76" t="str">
        <f t="shared" si="41"/>
        <v>07/2027</v>
      </c>
      <c r="C96" s="55">
        <f t="shared" si="47"/>
        <v>45121</v>
      </c>
      <c r="D96" s="56">
        <f>WORKDAY((F96+14)-1,1,Feriados!$B$3:$B$626)</f>
        <v>45121</v>
      </c>
      <c r="E96" s="56">
        <f t="shared" si="61"/>
        <v>45091</v>
      </c>
      <c r="F96" s="56">
        <f t="shared" si="42"/>
        <v>45107</v>
      </c>
      <c r="G96" s="57">
        <f>VLOOKUP(F96,'Série IPCA'!$K$10:$L$997,2,FALSE)</f>
        <v>0.33141018701013769</v>
      </c>
      <c r="H96" s="58">
        <f>NETWORKDAYS(IF(C95="",D95,C95),D96,Feriados!$B$3:$B$626)-1</f>
        <v>22</v>
      </c>
      <c r="I96" s="58">
        <f>NETWORKDAYS(E96,D96,Feriados!$B$3:$B$626)-1</f>
        <v>22</v>
      </c>
      <c r="J96" s="62">
        <f t="shared" si="43"/>
        <v>1.0033141018701013</v>
      </c>
      <c r="K96" s="62">
        <f t="shared" si="48"/>
        <v>1.0015844306490498</v>
      </c>
      <c r="L96" s="62">
        <f t="shared" si="49"/>
        <v>1.0012317211856352</v>
      </c>
      <c r="M96" s="62">
        <f t="shared" si="50"/>
        <v>1.0034298992021382</v>
      </c>
      <c r="N96" s="62">
        <f t="shared" si="57"/>
        <v>1.0095925088449922</v>
      </c>
      <c r="O96" s="59">
        <f t="shared" si="51"/>
        <v>0</v>
      </c>
      <c r="P96" s="59">
        <f t="shared" si="58"/>
        <v>0</v>
      </c>
      <c r="Q96" s="59">
        <f t="shared" si="59"/>
        <v>0</v>
      </c>
      <c r="R96" s="60">
        <f t="shared" si="60"/>
        <v>6.3664629124104977E-10</v>
      </c>
      <c r="S96" s="64">
        <f t="shared" si="52"/>
        <v>22</v>
      </c>
      <c r="T96" s="3">
        <f t="shared" si="44"/>
        <v>23</v>
      </c>
      <c r="U96" s="63" t="str">
        <f t="shared" si="25"/>
        <v>A</v>
      </c>
      <c r="V96" s="63" t="str">
        <f t="shared" si="45"/>
        <v>A</v>
      </c>
      <c r="W96" s="84" t="str">
        <f t="shared" si="46"/>
        <v>Mensal</v>
      </c>
      <c r="X96" s="3">
        <f t="shared" si="53"/>
        <v>1</v>
      </c>
      <c r="Y96" s="3">
        <f t="shared" si="54"/>
        <v>1</v>
      </c>
      <c r="Z96" s="3">
        <f t="shared" si="55"/>
        <v>1</v>
      </c>
      <c r="AA96" s="3">
        <f t="shared" si="56"/>
        <v>22</v>
      </c>
      <c r="AJ96" s="5">
        <v>88</v>
      </c>
      <c r="AK96" s="130">
        <v>5.9999999999999995E-4</v>
      </c>
    </row>
    <row r="97" spans="1:37" x14ac:dyDescent="0.2">
      <c r="A97" s="76" t="str">
        <f t="shared" si="40"/>
        <v>2027</v>
      </c>
      <c r="B97" s="76" t="str">
        <f t="shared" si="41"/>
        <v>08/2027</v>
      </c>
      <c r="C97" s="55">
        <f t="shared" si="47"/>
        <v>45153</v>
      </c>
      <c r="D97" s="56">
        <f>WORKDAY((F97+14)-1,1,Feriados!$B$3:$B$626)</f>
        <v>45153</v>
      </c>
      <c r="E97" s="56">
        <f t="shared" si="61"/>
        <v>45121</v>
      </c>
      <c r="F97" s="56">
        <f t="shared" si="42"/>
        <v>45138</v>
      </c>
      <c r="G97" s="57">
        <f>VLOOKUP(F97,'Série IPCA'!$K$10:$L$997,2,FALSE)</f>
        <v>0.33141019947118039</v>
      </c>
      <c r="H97" s="58">
        <f>NETWORKDAYS(IF(C96="",D96,C96),D97,Feriados!$B$3:$B$626)-1</f>
        <v>22</v>
      </c>
      <c r="I97" s="58">
        <f>NETWORKDAYS(E97,D97,Feriados!$B$3:$B$626)-1</f>
        <v>22</v>
      </c>
      <c r="J97" s="62">
        <f t="shared" si="43"/>
        <v>1.0033141019947118</v>
      </c>
      <c r="K97" s="62">
        <f t="shared" si="48"/>
        <v>1.0015844306490498</v>
      </c>
      <c r="L97" s="62">
        <f t="shared" si="49"/>
        <v>1.0012317211856352</v>
      </c>
      <c r="M97" s="62">
        <f t="shared" si="50"/>
        <v>1.0034298992021382</v>
      </c>
      <c r="N97" s="62">
        <f t="shared" si="57"/>
        <v>1.0095925089703823</v>
      </c>
      <c r="O97" s="59">
        <f t="shared" si="51"/>
        <v>0</v>
      </c>
      <c r="P97" s="59">
        <f t="shared" si="58"/>
        <v>0</v>
      </c>
      <c r="Q97" s="59">
        <f t="shared" si="59"/>
        <v>0</v>
      </c>
      <c r="R97" s="60">
        <f t="shared" si="60"/>
        <v>6.3664629124104977E-10</v>
      </c>
      <c r="S97" s="64">
        <f t="shared" si="52"/>
        <v>21</v>
      </c>
      <c r="T97" s="3">
        <f t="shared" si="44"/>
        <v>22</v>
      </c>
      <c r="U97" s="63" t="str">
        <f t="shared" si="25"/>
        <v>A</v>
      </c>
      <c r="V97" s="63" t="str">
        <f t="shared" si="45"/>
        <v>A</v>
      </c>
      <c r="W97" s="84" t="str">
        <f t="shared" si="46"/>
        <v>Mensal</v>
      </c>
      <c r="X97" s="3">
        <f t="shared" si="53"/>
        <v>1</v>
      </c>
      <c r="Y97" s="3">
        <f t="shared" si="54"/>
        <v>1</v>
      </c>
      <c r="Z97" s="3">
        <f t="shared" si="55"/>
        <v>1</v>
      </c>
      <c r="AA97" s="3">
        <f t="shared" si="56"/>
        <v>21</v>
      </c>
      <c r="AJ97" s="5">
        <v>89</v>
      </c>
      <c r="AK97" s="130">
        <v>5.9999999999999995E-4</v>
      </c>
    </row>
    <row r="98" spans="1:37" x14ac:dyDescent="0.2">
      <c r="A98" s="76" t="str">
        <f t="shared" si="40"/>
        <v>2027</v>
      </c>
      <c r="B98" s="76" t="str">
        <f t="shared" si="41"/>
        <v>09/2027</v>
      </c>
      <c r="C98" s="55">
        <f t="shared" si="47"/>
        <v>45183</v>
      </c>
      <c r="D98" s="56">
        <f>WORKDAY((F98+14)-1,1,Feriados!$B$3:$B$626)</f>
        <v>45183</v>
      </c>
      <c r="E98" s="56">
        <f t="shared" si="61"/>
        <v>45152</v>
      </c>
      <c r="F98" s="56">
        <f t="shared" si="42"/>
        <v>45169</v>
      </c>
      <c r="G98" s="57">
        <f>VLOOKUP(F98,'Série IPCA'!$K$10:$L$997,2,FALSE)</f>
        <v>0.33141022590118396</v>
      </c>
      <c r="H98" s="58">
        <f>NETWORKDAYS(IF(C97="",D97,C97),D98,Feriados!$B$3:$B$626)-1</f>
        <v>21</v>
      </c>
      <c r="I98" s="58">
        <f>NETWORKDAYS(E98,D98,Feriados!$B$3:$B$626)-1</f>
        <v>21</v>
      </c>
      <c r="J98" s="62">
        <f t="shared" si="43"/>
        <v>1.0033141022590117</v>
      </c>
      <c r="K98" s="62">
        <f t="shared" si="48"/>
        <v>1.0015123566425381</v>
      </c>
      <c r="L98" s="62">
        <f t="shared" si="49"/>
        <v>1.0011757009600362</v>
      </c>
      <c r="M98" s="62">
        <f t="shared" si="50"/>
        <v>1.0032737397821989</v>
      </c>
      <c r="N98" s="62">
        <f t="shared" si="57"/>
        <v>1.009306276627332</v>
      </c>
      <c r="O98" s="59">
        <f t="shared" si="51"/>
        <v>0</v>
      </c>
      <c r="P98" s="59">
        <f t="shared" si="58"/>
        <v>0</v>
      </c>
      <c r="Q98" s="59">
        <f t="shared" si="59"/>
        <v>0</v>
      </c>
      <c r="R98" s="60">
        <f t="shared" si="60"/>
        <v>6.3664629124104977E-10</v>
      </c>
      <c r="S98" s="64">
        <f t="shared" si="52"/>
        <v>20</v>
      </c>
      <c r="T98" s="3">
        <f t="shared" si="44"/>
        <v>21</v>
      </c>
      <c r="U98" s="63" t="str">
        <f t="shared" ref="U98:U151" si="62">IF(T97=0,"A",IF(U97="A","A","C"))</f>
        <v>A</v>
      </c>
      <c r="V98" s="63" t="str">
        <f t="shared" si="45"/>
        <v>A</v>
      </c>
      <c r="W98" s="84" t="str">
        <f t="shared" si="46"/>
        <v>Mensal</v>
      </c>
      <c r="X98" s="3">
        <f t="shared" si="53"/>
        <v>1</v>
      </c>
      <c r="Y98" s="3">
        <f t="shared" si="54"/>
        <v>1</v>
      </c>
      <c r="Z98" s="3">
        <f t="shared" si="55"/>
        <v>1</v>
      </c>
      <c r="AA98" s="3">
        <f t="shared" si="56"/>
        <v>20</v>
      </c>
      <c r="AJ98" s="5">
        <v>90</v>
      </c>
      <c r="AK98" s="130">
        <v>5.9999999999999995E-4</v>
      </c>
    </row>
    <row r="99" spans="1:37" x14ac:dyDescent="0.2">
      <c r="A99" s="76" t="str">
        <f t="shared" si="40"/>
        <v>2027</v>
      </c>
      <c r="B99" s="76" t="str">
        <f t="shared" si="41"/>
        <v>10/2027</v>
      </c>
      <c r="C99" s="55">
        <f t="shared" si="47"/>
        <v>45213</v>
      </c>
      <c r="D99" s="56">
        <f>WORKDAY((F99+14)-1,1,Feriados!$B$3:$B$626)</f>
        <v>45213</v>
      </c>
      <c r="E99" s="56">
        <f t="shared" si="61"/>
        <v>45183</v>
      </c>
      <c r="F99" s="56">
        <f t="shared" si="42"/>
        <v>45199</v>
      </c>
      <c r="G99" s="57">
        <f>VLOOKUP(F99,'Série IPCA'!$K$10:$L$997,2,FALSE)</f>
        <v>0.3314102544393871</v>
      </c>
      <c r="H99" s="58">
        <f>NETWORKDAYS(IF(C98="",D98,C98),D99,Feriados!$B$3:$B$626)-1</f>
        <v>21</v>
      </c>
      <c r="I99" s="58">
        <f>NETWORKDAYS(E99,D99,Feriados!$B$3:$B$626)-1</f>
        <v>21</v>
      </c>
      <c r="J99" s="62">
        <f t="shared" si="43"/>
        <v>1.0033141025443939</v>
      </c>
      <c r="K99" s="62">
        <f t="shared" si="48"/>
        <v>1.0015123566425381</v>
      </c>
      <c r="L99" s="62">
        <f t="shared" si="49"/>
        <v>1.0011757009600362</v>
      </c>
      <c r="M99" s="62">
        <f t="shared" si="50"/>
        <v>1.0032737397821989</v>
      </c>
      <c r="N99" s="62">
        <f t="shared" si="57"/>
        <v>1.0093062769144185</v>
      </c>
      <c r="O99" s="59">
        <f t="shared" si="51"/>
        <v>0</v>
      </c>
      <c r="P99" s="59">
        <f t="shared" si="58"/>
        <v>0</v>
      </c>
      <c r="Q99" s="59">
        <f t="shared" si="59"/>
        <v>0</v>
      </c>
      <c r="R99" s="60">
        <f t="shared" si="60"/>
        <v>6.3664629124104977E-10</v>
      </c>
      <c r="S99" s="64">
        <f t="shared" si="52"/>
        <v>19</v>
      </c>
      <c r="T99" s="3">
        <f t="shared" ref="T99:T130" si="63">IF($T$9-1=1,$N$3,IF(T98-1&lt;0,$N$3,T98-1))</f>
        <v>20</v>
      </c>
      <c r="U99" s="63" t="str">
        <f t="shared" si="62"/>
        <v>A</v>
      </c>
      <c r="V99" s="63" t="str">
        <f t="shared" si="45"/>
        <v>A</v>
      </c>
      <c r="W99" s="84" t="str">
        <f t="shared" si="46"/>
        <v>Mensal</v>
      </c>
      <c r="X99" s="3">
        <f t="shared" si="53"/>
        <v>1</v>
      </c>
      <c r="Y99" s="3">
        <f t="shared" si="54"/>
        <v>1</v>
      </c>
      <c r="Z99" s="3">
        <f t="shared" si="55"/>
        <v>1</v>
      </c>
      <c r="AA99" s="3">
        <f t="shared" si="56"/>
        <v>19</v>
      </c>
      <c r="AJ99" s="5">
        <v>91</v>
      </c>
      <c r="AK99" s="130">
        <v>5.9999999999999995E-4</v>
      </c>
    </row>
    <row r="100" spans="1:37" x14ac:dyDescent="0.2">
      <c r="A100" s="76" t="str">
        <f t="shared" si="40"/>
        <v>2027</v>
      </c>
      <c r="B100" s="76" t="str">
        <f t="shared" si="41"/>
        <v>11/2027</v>
      </c>
      <c r="C100" s="55">
        <f t="shared" si="47"/>
        <v>45245</v>
      </c>
      <c r="D100" s="56">
        <f>WORKDAY((F100+14)-1,1,Feriados!$B$3:$B$626)</f>
        <v>45245</v>
      </c>
      <c r="E100" s="56">
        <f t="shared" si="61"/>
        <v>45213</v>
      </c>
      <c r="F100" s="56">
        <f t="shared" si="42"/>
        <v>45230</v>
      </c>
      <c r="G100" s="57">
        <f>VLOOKUP(F100,'Série IPCA'!$K$10:$L$997,2,FALSE)</f>
        <v>0.33141027578551346</v>
      </c>
      <c r="H100" s="58">
        <f>NETWORKDAYS(IF(C99="",D99,C99),D100,Feriados!$B$3:$B$626)-1</f>
        <v>20</v>
      </c>
      <c r="I100" s="58">
        <f>NETWORKDAYS(E100,D100,Feriados!$B$3:$B$626)-1</f>
        <v>20</v>
      </c>
      <c r="J100" s="62">
        <f t="shared" si="43"/>
        <v>1.0033141027578552</v>
      </c>
      <c r="K100" s="62">
        <f t="shared" si="48"/>
        <v>1.0014402878224715</v>
      </c>
      <c r="L100" s="62">
        <f t="shared" si="49"/>
        <v>1.0011196838688423</v>
      </c>
      <c r="M100" s="62">
        <f t="shared" si="50"/>
        <v>1.0031176046646693</v>
      </c>
      <c r="N100" s="62">
        <f t="shared" si="57"/>
        <v>1.0090201256706766</v>
      </c>
      <c r="O100" s="59">
        <f t="shared" si="51"/>
        <v>0</v>
      </c>
      <c r="P100" s="59">
        <f t="shared" si="58"/>
        <v>0</v>
      </c>
      <c r="Q100" s="59">
        <f t="shared" si="59"/>
        <v>0</v>
      </c>
      <c r="R100" s="60">
        <f t="shared" si="60"/>
        <v>6.3664629124104977E-10</v>
      </c>
      <c r="S100" s="64">
        <f t="shared" si="52"/>
        <v>18</v>
      </c>
      <c r="T100" s="3">
        <f t="shared" si="63"/>
        <v>19</v>
      </c>
      <c r="U100" s="63" t="str">
        <f t="shared" si="62"/>
        <v>A</v>
      </c>
      <c r="V100" s="63" t="str">
        <f t="shared" si="45"/>
        <v>A</v>
      </c>
      <c r="W100" s="84" t="str">
        <f t="shared" si="46"/>
        <v>Mensal</v>
      </c>
      <c r="X100" s="3">
        <f t="shared" si="53"/>
        <v>1</v>
      </c>
      <c r="Y100" s="3">
        <f t="shared" si="54"/>
        <v>1</v>
      </c>
      <c r="Z100" s="3">
        <f t="shared" si="55"/>
        <v>1</v>
      </c>
      <c r="AA100" s="3">
        <f t="shared" si="56"/>
        <v>18</v>
      </c>
      <c r="AJ100" s="5">
        <v>92</v>
      </c>
      <c r="AK100" s="130">
        <v>5.9999999999999995E-4</v>
      </c>
    </row>
    <row r="101" spans="1:37" x14ac:dyDescent="0.2">
      <c r="A101" s="76" t="str">
        <f t="shared" si="40"/>
        <v>2027</v>
      </c>
      <c r="B101" s="76" t="str">
        <f t="shared" si="41"/>
        <v>12/2027</v>
      </c>
      <c r="C101" s="55">
        <f t="shared" si="47"/>
        <v>45274</v>
      </c>
      <c r="D101" s="56">
        <f>WORKDAY((F101+14)-1,1,Feriados!$B$3:$B$626)</f>
        <v>45274</v>
      </c>
      <c r="E101" s="56">
        <f t="shared" si="61"/>
        <v>45244</v>
      </c>
      <c r="F101" s="56">
        <f t="shared" si="42"/>
        <v>45260</v>
      </c>
      <c r="G101" s="57">
        <f>VLOOKUP(F101,'Série IPCA'!$K$10:$L$997,2,FALSE)</f>
        <v>0.33141028525150079</v>
      </c>
      <c r="H101" s="58">
        <f>NETWORKDAYS(IF(C100="",D100,C100),D101,Feriados!$B$3:$B$626)-1</f>
        <v>21</v>
      </c>
      <c r="I101" s="58">
        <f>NETWORKDAYS(E101,D101,Feriados!$B$3:$B$626)-1</f>
        <v>21</v>
      </c>
      <c r="J101" s="62">
        <f t="shared" si="43"/>
        <v>1.003314102852515</v>
      </c>
      <c r="K101" s="62">
        <f t="shared" si="48"/>
        <v>1.0015123566425381</v>
      </c>
      <c r="L101" s="62">
        <f t="shared" si="49"/>
        <v>1.0011757009600362</v>
      </c>
      <c r="M101" s="62">
        <f t="shared" si="50"/>
        <v>1.0032737397821989</v>
      </c>
      <c r="N101" s="62">
        <f t="shared" si="57"/>
        <v>1.0093062772243799</v>
      </c>
      <c r="O101" s="59">
        <f t="shared" si="51"/>
        <v>0</v>
      </c>
      <c r="P101" s="59">
        <f t="shared" si="58"/>
        <v>0</v>
      </c>
      <c r="Q101" s="59">
        <f t="shared" si="59"/>
        <v>0</v>
      </c>
      <c r="R101" s="60">
        <f t="shared" si="60"/>
        <v>6.3664629124104977E-10</v>
      </c>
      <c r="S101" s="64">
        <f t="shared" si="52"/>
        <v>17</v>
      </c>
      <c r="T101" s="3">
        <f t="shared" si="63"/>
        <v>18</v>
      </c>
      <c r="U101" s="63" t="str">
        <f t="shared" si="62"/>
        <v>A</v>
      </c>
      <c r="V101" s="63" t="str">
        <f t="shared" si="45"/>
        <v>A</v>
      </c>
      <c r="W101" s="84" t="str">
        <f t="shared" si="46"/>
        <v>Mensal</v>
      </c>
      <c r="X101" s="3">
        <f t="shared" si="53"/>
        <v>1</v>
      </c>
      <c r="Y101" s="3">
        <f t="shared" si="54"/>
        <v>1</v>
      </c>
      <c r="Z101" s="3">
        <f t="shared" si="55"/>
        <v>1</v>
      </c>
      <c r="AA101" s="3">
        <f t="shared" si="56"/>
        <v>17</v>
      </c>
      <c r="AJ101" s="5">
        <v>93</v>
      </c>
      <c r="AK101" s="130">
        <v>5.9999999999999995E-4</v>
      </c>
    </row>
    <row r="102" spans="1:37" x14ac:dyDescent="0.2">
      <c r="A102" s="76" t="str">
        <f t="shared" si="40"/>
        <v>2028</v>
      </c>
      <c r="B102" s="76" t="str">
        <f t="shared" si="41"/>
        <v>01/2028</v>
      </c>
      <c r="C102" s="55">
        <f t="shared" si="47"/>
        <v>45307</v>
      </c>
      <c r="D102" s="56">
        <f>WORKDAY((F102+14)-1,1,Feriados!$B$3:$B$626)</f>
        <v>45307</v>
      </c>
      <c r="E102" s="56">
        <f t="shared" si="61"/>
        <v>45274</v>
      </c>
      <c r="F102" s="56">
        <f t="shared" si="42"/>
        <v>45291</v>
      </c>
      <c r="G102" s="57">
        <f>VLOOKUP(F102,'Série IPCA'!$K$10:$L$997,2,FALSE)</f>
        <v>0.33141028298190123</v>
      </c>
      <c r="H102" s="58">
        <f>NETWORKDAYS(IF(C101="",D101,C101),D102,Feriados!$B$3:$B$626)-1</f>
        <v>23</v>
      </c>
      <c r="I102" s="58">
        <f>NETWORKDAYS(E102,D102,Feriados!$B$3:$B$626)-1</f>
        <v>23</v>
      </c>
      <c r="J102" s="62">
        <f t="shared" si="43"/>
        <v>1.0033141028298189</v>
      </c>
      <c r="K102" s="62">
        <f t="shared" si="48"/>
        <v>1.0016565098423793</v>
      </c>
      <c r="L102" s="62">
        <f t="shared" si="49"/>
        <v>1.0012877445458146</v>
      </c>
      <c r="M102" s="62">
        <f t="shared" si="50"/>
        <v>1.0035860829282697</v>
      </c>
      <c r="N102" s="62">
        <f t="shared" si="57"/>
        <v>1.0098788235935636</v>
      </c>
      <c r="O102" s="59">
        <f t="shared" si="51"/>
        <v>0</v>
      </c>
      <c r="P102" s="59">
        <f t="shared" si="58"/>
        <v>0</v>
      </c>
      <c r="Q102" s="59">
        <f t="shared" si="59"/>
        <v>0</v>
      </c>
      <c r="R102" s="60">
        <f t="shared" si="60"/>
        <v>6.3664629124104977E-10</v>
      </c>
      <c r="S102" s="64">
        <f t="shared" si="52"/>
        <v>16</v>
      </c>
      <c r="T102" s="3">
        <f t="shared" si="63"/>
        <v>17</v>
      </c>
      <c r="U102" s="63" t="str">
        <f t="shared" si="62"/>
        <v>A</v>
      </c>
      <c r="V102" s="63" t="str">
        <f t="shared" si="45"/>
        <v>A</v>
      </c>
      <c r="W102" s="84" t="str">
        <f t="shared" si="46"/>
        <v>Mensal</v>
      </c>
      <c r="X102" s="3">
        <f t="shared" si="53"/>
        <v>1</v>
      </c>
      <c r="Y102" s="3">
        <f t="shared" si="54"/>
        <v>1</v>
      </c>
      <c r="Z102" s="3">
        <f t="shared" si="55"/>
        <v>1</v>
      </c>
      <c r="AA102" s="3">
        <f t="shared" si="56"/>
        <v>16</v>
      </c>
      <c r="AJ102" s="5">
        <v>94</v>
      </c>
      <c r="AK102" s="130">
        <v>5.9999999999999995E-4</v>
      </c>
    </row>
    <row r="103" spans="1:37" x14ac:dyDescent="0.2">
      <c r="A103" s="76" t="str">
        <f t="shared" si="40"/>
        <v>2028</v>
      </c>
      <c r="B103" s="76" t="str">
        <f t="shared" si="41"/>
        <v>02/2028</v>
      </c>
      <c r="C103" s="55">
        <f t="shared" si="47"/>
        <v>45336</v>
      </c>
      <c r="D103" s="56">
        <f>WORKDAY((F103+14)-1,1,Feriados!$B$3:$B$626)</f>
        <v>45336</v>
      </c>
      <c r="E103" s="56">
        <f t="shared" si="61"/>
        <v>45305</v>
      </c>
      <c r="F103" s="56">
        <f t="shared" si="42"/>
        <v>45322</v>
      </c>
      <c r="G103" s="57">
        <f>VLOOKUP(F103,'Série IPCA'!$K$10:$L$997,2,FALSE)</f>
        <v>0.33141027275878904</v>
      </c>
      <c r="H103" s="58">
        <f>NETWORKDAYS(IF(C102="",D102,C102),D103,Feriados!$B$3:$B$626)-1</f>
        <v>21</v>
      </c>
      <c r="I103" s="58">
        <f>NETWORKDAYS(E103,D103,Feriados!$B$3:$B$626)-1</f>
        <v>21</v>
      </c>
      <c r="J103" s="62">
        <f t="shared" si="43"/>
        <v>1.0033141027275878</v>
      </c>
      <c r="K103" s="62">
        <f t="shared" si="48"/>
        <v>1.0015123566425381</v>
      </c>
      <c r="L103" s="62">
        <f t="shared" si="49"/>
        <v>1.0011757009600362</v>
      </c>
      <c r="M103" s="62">
        <f t="shared" si="50"/>
        <v>1.0032737397821989</v>
      </c>
      <c r="N103" s="62">
        <f t="shared" si="57"/>
        <v>1.0093062770987067</v>
      </c>
      <c r="O103" s="59">
        <f t="shared" si="51"/>
        <v>0</v>
      </c>
      <c r="P103" s="59">
        <f t="shared" si="58"/>
        <v>0</v>
      </c>
      <c r="Q103" s="59">
        <f t="shared" si="59"/>
        <v>0</v>
      </c>
      <c r="R103" s="60">
        <f t="shared" si="60"/>
        <v>6.3664629124104977E-10</v>
      </c>
      <c r="S103" s="64">
        <f t="shared" si="52"/>
        <v>15</v>
      </c>
      <c r="T103" s="3">
        <f t="shared" si="63"/>
        <v>16</v>
      </c>
      <c r="U103" s="63" t="str">
        <f t="shared" si="62"/>
        <v>A</v>
      </c>
      <c r="V103" s="63" t="str">
        <f t="shared" si="45"/>
        <v>A</v>
      </c>
      <c r="W103" s="84" t="str">
        <f t="shared" si="46"/>
        <v>Mensal</v>
      </c>
      <c r="X103" s="3">
        <f t="shared" si="53"/>
        <v>1</v>
      </c>
      <c r="Y103" s="3">
        <f t="shared" si="54"/>
        <v>1</v>
      </c>
      <c r="Z103" s="3">
        <f t="shared" si="55"/>
        <v>1</v>
      </c>
      <c r="AA103" s="3">
        <f t="shared" si="56"/>
        <v>15</v>
      </c>
      <c r="AJ103" s="5">
        <v>95</v>
      </c>
      <c r="AK103" s="130">
        <v>5.9999999999999995E-4</v>
      </c>
    </row>
    <row r="104" spans="1:37" x14ac:dyDescent="0.2">
      <c r="A104" s="76" t="str">
        <f t="shared" si="40"/>
        <v>2028</v>
      </c>
      <c r="B104" s="76" t="str">
        <f t="shared" si="41"/>
        <v>03/2028</v>
      </c>
      <c r="C104" s="55">
        <f t="shared" si="47"/>
        <v>45365</v>
      </c>
      <c r="D104" s="56">
        <f>WORKDAY((F104+14)-1,1,Feriados!$B$3:$B$626)</f>
        <v>45365</v>
      </c>
      <c r="E104" s="56">
        <f t="shared" si="61"/>
        <v>45336</v>
      </c>
      <c r="F104" s="56">
        <f t="shared" si="42"/>
        <v>45351</v>
      </c>
      <c r="G104" s="57">
        <f>VLOOKUP(F104,'Série IPCA'!$K$10:$L$997,2,FALSE)</f>
        <v>0.33141026002696555</v>
      </c>
      <c r="H104" s="58">
        <f>NETWORKDAYS(IF(C103="",D103,C103),D104,Feriados!$B$3:$B$626)-1</f>
        <v>19</v>
      </c>
      <c r="I104" s="58">
        <f>NETWORKDAYS(E104,D104,Feriados!$B$3:$B$626)-1</f>
        <v>19</v>
      </c>
      <c r="J104" s="62">
        <f t="shared" si="43"/>
        <v>1.0033141026002697</v>
      </c>
      <c r="K104" s="62">
        <f t="shared" si="48"/>
        <v>1.0013682241884765</v>
      </c>
      <c r="L104" s="62">
        <f t="shared" si="49"/>
        <v>1.0010636699118778</v>
      </c>
      <c r="M104" s="62">
        <f t="shared" si="50"/>
        <v>1.0029614938457672</v>
      </c>
      <c r="N104" s="62">
        <f t="shared" si="57"/>
        <v>1.0087340551814223</v>
      </c>
      <c r="O104" s="59">
        <f t="shared" si="51"/>
        <v>0</v>
      </c>
      <c r="P104" s="59">
        <f t="shared" si="58"/>
        <v>0</v>
      </c>
      <c r="Q104" s="59">
        <f t="shared" si="59"/>
        <v>0</v>
      </c>
      <c r="R104" s="60">
        <f t="shared" si="60"/>
        <v>6.3664629124104977E-10</v>
      </c>
      <c r="S104" s="64">
        <f t="shared" si="52"/>
        <v>14</v>
      </c>
      <c r="T104" s="3">
        <f t="shared" si="63"/>
        <v>15</v>
      </c>
      <c r="U104" s="63" t="str">
        <f t="shared" si="62"/>
        <v>A</v>
      </c>
      <c r="V104" s="63" t="str">
        <f t="shared" si="45"/>
        <v>A</v>
      </c>
      <c r="W104" s="84" t="str">
        <f t="shared" si="46"/>
        <v>Mensal</v>
      </c>
      <c r="X104" s="3">
        <f t="shared" si="53"/>
        <v>1</v>
      </c>
      <c r="Y104" s="3">
        <f t="shared" si="54"/>
        <v>1</v>
      </c>
      <c r="Z104" s="3">
        <f t="shared" si="55"/>
        <v>1</v>
      </c>
      <c r="AA104" s="3">
        <f t="shared" si="56"/>
        <v>14</v>
      </c>
      <c r="AJ104" s="5">
        <v>96</v>
      </c>
      <c r="AK104" s="130">
        <v>5.9999999999999995E-4</v>
      </c>
    </row>
    <row r="105" spans="1:37" x14ac:dyDescent="0.2">
      <c r="A105" s="76" t="str">
        <f t="shared" si="40"/>
        <v>2028</v>
      </c>
      <c r="B105" s="76" t="str">
        <f t="shared" si="41"/>
        <v>04/2028</v>
      </c>
      <c r="C105" s="55">
        <f t="shared" si="47"/>
        <v>45398</v>
      </c>
      <c r="D105" s="56">
        <f>WORKDAY((F105+14)-1,1,Feriados!$B$3:$B$626)</f>
        <v>45398</v>
      </c>
      <c r="E105" s="56">
        <f t="shared" si="61"/>
        <v>45365</v>
      </c>
      <c r="F105" s="56">
        <f t="shared" si="42"/>
        <v>45382</v>
      </c>
      <c r="G105" s="57">
        <f>VLOOKUP(F105,'Série IPCA'!$K$10:$L$997,2,FALSE)</f>
        <v>0.33141024971631172</v>
      </c>
      <c r="H105" s="58">
        <f>NETWORKDAYS(IF(C104="",D104,C104),D105,Feriados!$B$3:$B$626)-1</f>
        <v>22</v>
      </c>
      <c r="I105" s="58">
        <f>NETWORKDAYS(E105,D105,Feriados!$B$3:$B$626)-1</f>
        <v>22</v>
      </c>
      <c r="J105" s="62">
        <f t="shared" si="43"/>
        <v>1.003314102497163</v>
      </c>
      <c r="K105" s="62">
        <f t="shared" si="48"/>
        <v>1.0015844306490498</v>
      </c>
      <c r="L105" s="62">
        <f t="shared" si="49"/>
        <v>1.0012317211856352</v>
      </c>
      <c r="M105" s="62">
        <f t="shared" si="50"/>
        <v>1.0034298992021382</v>
      </c>
      <c r="N105" s="62">
        <f t="shared" si="57"/>
        <v>1.0095925094759777</v>
      </c>
      <c r="O105" s="59">
        <f t="shared" si="51"/>
        <v>0</v>
      </c>
      <c r="P105" s="59">
        <f t="shared" si="58"/>
        <v>0</v>
      </c>
      <c r="Q105" s="59">
        <f t="shared" si="59"/>
        <v>0</v>
      </c>
      <c r="R105" s="60">
        <f t="shared" si="60"/>
        <v>6.3664629124104977E-10</v>
      </c>
      <c r="S105" s="64">
        <f t="shared" si="52"/>
        <v>13</v>
      </c>
      <c r="T105" s="3">
        <f t="shared" si="63"/>
        <v>14</v>
      </c>
      <c r="U105" s="63" t="str">
        <f t="shared" si="62"/>
        <v>A</v>
      </c>
      <c r="V105" s="63" t="str">
        <f t="shared" ref="V105:V136" si="64">IF(U105="A","A",IF($J$3="E","E",IF($J$3="C","C",0)))</f>
        <v>A</v>
      </c>
      <c r="W105" s="84" t="str">
        <f t="shared" ref="W105:W136" si="65">IF(U105="C",$K$4,IF(U105="A",$M$4,""))</f>
        <v>Mensal</v>
      </c>
      <c r="X105" s="3">
        <f t="shared" si="53"/>
        <v>1</v>
      </c>
      <c r="Y105" s="3">
        <f t="shared" si="54"/>
        <v>1</v>
      </c>
      <c r="Z105" s="3">
        <f t="shared" si="55"/>
        <v>1</v>
      </c>
      <c r="AA105" s="3">
        <f t="shared" si="56"/>
        <v>13</v>
      </c>
      <c r="AJ105" s="5">
        <v>97</v>
      </c>
      <c r="AK105" s="130">
        <v>5.0000000000000001E-4</v>
      </c>
    </row>
    <row r="106" spans="1:37" x14ac:dyDescent="0.2">
      <c r="A106" s="76" t="str">
        <f t="shared" si="40"/>
        <v>2028</v>
      </c>
      <c r="B106" s="76" t="str">
        <f t="shared" si="41"/>
        <v>05/2028</v>
      </c>
      <c r="C106" s="55">
        <f t="shared" ref="C106:C137" si="66">IF(S106="","",D106)</f>
        <v>45426</v>
      </c>
      <c r="D106" s="56">
        <f>WORKDAY((F106+14)-1,1,Feriados!$B$3:$B$626)</f>
        <v>45426</v>
      </c>
      <c r="E106" s="56">
        <f t="shared" si="61"/>
        <v>45396</v>
      </c>
      <c r="F106" s="56">
        <f t="shared" si="42"/>
        <v>45412</v>
      </c>
      <c r="G106" s="57">
        <f>VLOOKUP(F106,'Série IPCA'!$K$10:$L$997,2,FALSE)</f>
        <v>0.33141024458941509</v>
      </c>
      <c r="H106" s="58">
        <f>NETWORKDAYS(IF(C105="",D105,C105),D106,Feriados!$B$3:$B$626)-1</f>
        <v>18</v>
      </c>
      <c r="I106" s="58">
        <f>NETWORKDAYS(E106,D106,Feriados!$B$3:$B$626)-1</f>
        <v>18</v>
      </c>
      <c r="J106" s="62">
        <f t="shared" si="43"/>
        <v>1.0033141024458943</v>
      </c>
      <c r="K106" s="62">
        <f t="shared" ref="K106:K137" si="67">(1+$G$3/100)^(H106/252)</f>
        <v>1.0012961657401798</v>
      </c>
      <c r="L106" s="62">
        <f t="shared" ref="L106:L137" si="68">(1+$H$3/100)^(H106/252)</f>
        <v>1.0010076590889676</v>
      </c>
      <c r="M106" s="62">
        <f t="shared" ref="M106:M137" si="69">(1+$I$3/100)^(H106/252)</f>
        <v>1.0028054073217112</v>
      </c>
      <c r="N106" s="62">
        <f t="shared" si="57"/>
        <v>1.008448065800144</v>
      </c>
      <c r="O106" s="59">
        <f t="shared" ref="O106:O137" si="70">IF(X106=Y106,IFERROR(IF(C106="",0,ROUND(R105*(N106-1),2)),0),0)</f>
        <v>0</v>
      </c>
      <c r="P106" s="59">
        <f t="shared" si="58"/>
        <v>0</v>
      </c>
      <c r="Q106" s="59">
        <f t="shared" si="59"/>
        <v>0</v>
      </c>
      <c r="R106" s="60">
        <f t="shared" si="60"/>
        <v>6.3664629124104977E-10</v>
      </c>
      <c r="S106" s="64">
        <f t="shared" ref="S106:S137" si="71">IF(Z106=0,"",IF(U106="C",AA106,IF(U106="A",AA106,"")))</f>
        <v>12</v>
      </c>
      <c r="T106" s="3">
        <f t="shared" si="63"/>
        <v>13</v>
      </c>
      <c r="U106" s="63" t="str">
        <f t="shared" si="62"/>
        <v>A</v>
      </c>
      <c r="V106" s="63" t="str">
        <f t="shared" si="64"/>
        <v>A</v>
      </c>
      <c r="W106" s="84" t="str">
        <f t="shared" si="65"/>
        <v>Mensal</v>
      </c>
      <c r="X106" s="3">
        <f t="shared" si="53"/>
        <v>1</v>
      </c>
      <c r="Y106" s="3">
        <f t="shared" ref="Y106:Y137" si="72">IF(Y105=X105,1,Y105+1)</f>
        <v>1</v>
      </c>
      <c r="Z106" s="3">
        <f t="shared" ref="Z106:Z137" si="73">IF(X106=Y106,Y106/X106,0)</f>
        <v>1</v>
      </c>
      <c r="AA106" s="3">
        <f t="shared" ref="AA106:AA137" si="74">IF((AA105-Z106)=0,$N$3,AA105-Z106)</f>
        <v>12</v>
      </c>
      <c r="AJ106" s="5">
        <v>98</v>
      </c>
      <c r="AK106" s="130">
        <v>5.0000000000000001E-4</v>
      </c>
    </row>
    <row r="107" spans="1:37" x14ac:dyDescent="0.2">
      <c r="A107" s="76" t="str">
        <f t="shared" si="40"/>
        <v>2028</v>
      </c>
      <c r="B107" s="76" t="str">
        <f t="shared" si="41"/>
        <v>06/2028</v>
      </c>
      <c r="C107" s="55">
        <f t="shared" si="66"/>
        <v>45458</v>
      </c>
      <c r="D107" s="56">
        <f>WORKDAY((F107+14)-1,1,Feriados!$B$3:$B$626)</f>
        <v>45458</v>
      </c>
      <c r="E107" s="56">
        <f t="shared" si="61"/>
        <v>45426</v>
      </c>
      <c r="F107" s="56">
        <f t="shared" si="42"/>
        <v>45443</v>
      </c>
      <c r="G107" s="57">
        <f>VLOOKUP(F107,'Série IPCA'!$K$10:$L$997,2,FALSE)</f>
        <v>0.33141024477640291</v>
      </c>
      <c r="H107" s="58">
        <f>NETWORKDAYS(IF(C106="",D106,C106),D107,Feriados!$B$3:$B$626)-1</f>
        <v>23</v>
      </c>
      <c r="I107" s="58">
        <f>NETWORKDAYS(E107,D107,Feriados!$B$3:$B$626)-1</f>
        <v>23</v>
      </c>
      <c r="J107" s="62">
        <f t="shared" si="43"/>
        <v>1.0033141024477641</v>
      </c>
      <c r="K107" s="62">
        <f t="shared" si="67"/>
        <v>1.0016565098423793</v>
      </c>
      <c r="L107" s="62">
        <f t="shared" si="68"/>
        <v>1.0012877445458146</v>
      </c>
      <c r="M107" s="62">
        <f t="shared" si="69"/>
        <v>1.0035860829282697</v>
      </c>
      <c r="N107" s="62">
        <f t="shared" si="57"/>
        <v>1.0098788232090088</v>
      </c>
      <c r="O107" s="59">
        <f t="shared" si="70"/>
        <v>0</v>
      </c>
      <c r="P107" s="59">
        <f t="shared" si="58"/>
        <v>0</v>
      </c>
      <c r="Q107" s="59">
        <f t="shared" si="59"/>
        <v>0</v>
      </c>
      <c r="R107" s="60">
        <f t="shared" si="60"/>
        <v>6.3664629124104977E-10</v>
      </c>
      <c r="S107" s="64">
        <f t="shared" si="71"/>
        <v>11</v>
      </c>
      <c r="T107" s="3">
        <f t="shared" si="63"/>
        <v>12</v>
      </c>
      <c r="U107" s="63" t="str">
        <f t="shared" si="62"/>
        <v>A</v>
      </c>
      <c r="V107" s="63" t="str">
        <f t="shared" si="64"/>
        <v>A</v>
      </c>
      <c r="W107" s="84" t="str">
        <f t="shared" si="65"/>
        <v>Mensal</v>
      </c>
      <c r="X107" s="3">
        <f t="shared" si="53"/>
        <v>1</v>
      </c>
      <c r="Y107" s="3">
        <f t="shared" si="72"/>
        <v>1</v>
      </c>
      <c r="Z107" s="3">
        <f t="shared" si="73"/>
        <v>1</v>
      </c>
      <c r="AA107" s="3">
        <f t="shared" si="74"/>
        <v>11</v>
      </c>
      <c r="AJ107" s="5">
        <v>99</v>
      </c>
      <c r="AK107" s="130">
        <v>5.0000000000000001E-4</v>
      </c>
    </row>
    <row r="108" spans="1:37" x14ac:dyDescent="0.2">
      <c r="A108" s="76" t="str">
        <f t="shared" si="40"/>
        <v>2028</v>
      </c>
      <c r="B108" s="76" t="str">
        <f t="shared" si="41"/>
        <v>07/2028</v>
      </c>
      <c r="C108" s="55">
        <f t="shared" si="66"/>
        <v>45489</v>
      </c>
      <c r="D108" s="56">
        <f>WORKDAY((F108+14)-1,1,Feriados!$B$3:$B$626)</f>
        <v>45489</v>
      </c>
      <c r="E108" s="56">
        <f t="shared" si="61"/>
        <v>45457</v>
      </c>
      <c r="F108" s="56">
        <f t="shared" si="42"/>
        <v>45473</v>
      </c>
      <c r="G108" s="57">
        <f>VLOOKUP(F108,'Série IPCA'!$K$10:$L$997,2,FALSE)</f>
        <v>0.33141024855905737</v>
      </c>
      <c r="H108" s="58">
        <f>NETWORKDAYS(IF(C107="",D107,C107),D108,Feriados!$B$3:$B$626)-1</f>
        <v>21</v>
      </c>
      <c r="I108" s="58">
        <f>NETWORKDAYS(E108,D108,Feriados!$B$3:$B$626)-1</f>
        <v>21</v>
      </c>
      <c r="J108" s="62">
        <f t="shared" si="43"/>
        <v>1.0033141024855905</v>
      </c>
      <c r="K108" s="62">
        <f t="shared" si="67"/>
        <v>1.0015123566425381</v>
      </c>
      <c r="L108" s="62">
        <f t="shared" si="68"/>
        <v>1.0011757009600362</v>
      </c>
      <c r="M108" s="62">
        <f t="shared" si="69"/>
        <v>1.0032737397821989</v>
      </c>
      <c r="N108" s="62">
        <f t="shared" si="57"/>
        <v>1.0093062768552639</v>
      </c>
      <c r="O108" s="59">
        <f t="shared" si="70"/>
        <v>0</v>
      </c>
      <c r="P108" s="59">
        <f t="shared" si="58"/>
        <v>0</v>
      </c>
      <c r="Q108" s="59">
        <f t="shared" si="59"/>
        <v>0</v>
      </c>
      <c r="R108" s="60">
        <f t="shared" si="60"/>
        <v>6.3664629124104977E-10</v>
      </c>
      <c r="S108" s="64">
        <f t="shared" si="71"/>
        <v>10</v>
      </c>
      <c r="T108" s="3">
        <f t="shared" si="63"/>
        <v>11</v>
      </c>
      <c r="U108" s="63" t="str">
        <f t="shared" si="62"/>
        <v>A</v>
      </c>
      <c r="V108" s="63" t="str">
        <f t="shared" si="64"/>
        <v>A</v>
      </c>
      <c r="W108" s="84" t="str">
        <f t="shared" si="65"/>
        <v>Mensal</v>
      </c>
      <c r="X108" s="3">
        <f t="shared" si="53"/>
        <v>1</v>
      </c>
      <c r="Y108" s="3">
        <f t="shared" si="72"/>
        <v>1</v>
      </c>
      <c r="Z108" s="3">
        <f t="shared" si="73"/>
        <v>1</v>
      </c>
      <c r="AA108" s="3">
        <f t="shared" si="74"/>
        <v>10</v>
      </c>
      <c r="AJ108" s="5">
        <v>100</v>
      </c>
      <c r="AK108" s="130">
        <v>5.0000000000000001E-4</v>
      </c>
    </row>
    <row r="109" spans="1:37" x14ac:dyDescent="0.2">
      <c r="A109" s="76" t="str">
        <f t="shared" ref="A109:A129" si="75">CONCATENATE(TEXT(YEAR(D109),"0000"))</f>
        <v>2028</v>
      </c>
      <c r="B109" s="76" t="str">
        <f t="shared" ref="B109:B129" si="76">CONCATENATE((TEXT(MONTH(D109),"00")),"/",(TEXT(YEAR(D109),"0000")))</f>
        <v>08/2028</v>
      </c>
      <c r="C109" s="55">
        <f t="shared" si="66"/>
        <v>45518</v>
      </c>
      <c r="D109" s="56">
        <f>WORKDAY((F109+14)-1,1,Feriados!$B$3:$B$626)</f>
        <v>45518</v>
      </c>
      <c r="E109" s="56">
        <f t="shared" si="61"/>
        <v>45487</v>
      </c>
      <c r="F109" s="56">
        <f t="shared" ref="F109:F129" si="77">EOMONTH(E109,0)+1</f>
        <v>45504</v>
      </c>
      <c r="G109" s="57">
        <f>VLOOKUP(F109,'Série IPCA'!$K$10:$L$997,2,FALSE)</f>
        <v>0.33141025368813409</v>
      </c>
      <c r="H109" s="58">
        <f>NETWORKDAYS(IF(C108="",D108,C108),D109,Feriados!$B$3:$B$626)-1</f>
        <v>21</v>
      </c>
      <c r="I109" s="58">
        <f>NETWORKDAYS(E109,D109,Feriados!$B$3:$B$626)-1</f>
        <v>21</v>
      </c>
      <c r="J109" s="62">
        <f t="shared" ref="J109:J129" si="78">(1+G109/100)^(H109/I109)</f>
        <v>1.0033141025368812</v>
      </c>
      <c r="K109" s="62">
        <f t="shared" si="67"/>
        <v>1.0015123566425381</v>
      </c>
      <c r="L109" s="62">
        <f t="shared" si="68"/>
        <v>1.0011757009600362</v>
      </c>
      <c r="M109" s="62">
        <f t="shared" si="69"/>
        <v>1.0032737397821989</v>
      </c>
      <c r="N109" s="62">
        <f t="shared" si="57"/>
        <v>1.009306276906861</v>
      </c>
      <c r="O109" s="59">
        <f t="shared" si="70"/>
        <v>0</v>
      </c>
      <c r="P109" s="59">
        <f t="shared" si="58"/>
        <v>0</v>
      </c>
      <c r="Q109" s="59">
        <f t="shared" si="59"/>
        <v>0</v>
      </c>
      <c r="R109" s="60">
        <f t="shared" si="60"/>
        <v>6.3664629124104977E-10</v>
      </c>
      <c r="S109" s="64">
        <f t="shared" si="71"/>
        <v>9</v>
      </c>
      <c r="T109" s="3">
        <f t="shared" si="63"/>
        <v>10</v>
      </c>
      <c r="U109" s="63" t="str">
        <f t="shared" si="62"/>
        <v>A</v>
      </c>
      <c r="V109" s="63" t="str">
        <f t="shared" si="64"/>
        <v>A</v>
      </c>
      <c r="W109" s="84" t="str">
        <f t="shared" si="65"/>
        <v>Mensal</v>
      </c>
      <c r="X109" s="3">
        <f t="shared" si="53"/>
        <v>1</v>
      </c>
      <c r="Y109" s="3">
        <f t="shared" si="72"/>
        <v>1</v>
      </c>
      <c r="Z109" s="3">
        <f t="shared" si="73"/>
        <v>1</v>
      </c>
      <c r="AA109" s="3">
        <f t="shared" si="74"/>
        <v>9</v>
      </c>
      <c r="AJ109" s="5">
        <v>101</v>
      </c>
      <c r="AK109" s="130">
        <v>5.0000000000000001E-4</v>
      </c>
    </row>
    <row r="110" spans="1:37" x14ac:dyDescent="0.2">
      <c r="A110" s="76" t="str">
        <f t="shared" si="75"/>
        <v>2028</v>
      </c>
      <c r="B110" s="76" t="str">
        <f t="shared" si="76"/>
        <v>09/2028</v>
      </c>
      <c r="C110" s="55">
        <f t="shared" si="66"/>
        <v>45549</v>
      </c>
      <c r="D110" s="56">
        <f>WORKDAY((F110+14)-1,1,Feriados!$B$3:$B$626)</f>
        <v>45549</v>
      </c>
      <c r="E110" s="56">
        <f t="shared" si="61"/>
        <v>45518</v>
      </c>
      <c r="F110" s="56">
        <f t="shared" si="77"/>
        <v>45535</v>
      </c>
      <c r="G110" s="57">
        <f>VLOOKUP(F110,'Série IPCA'!$K$10:$L$997,2,FALSE)</f>
        <v>0.3314102582062135</v>
      </c>
      <c r="H110" s="58">
        <f>NETWORKDAYS(IF(C109="",D109,C109),D110,Feriados!$B$3:$B$626)-1</f>
        <v>22</v>
      </c>
      <c r="I110" s="58">
        <f>NETWORKDAYS(E110,D110,Feriados!$B$3:$B$626)-1</f>
        <v>22</v>
      </c>
      <c r="J110" s="62">
        <f t="shared" si="78"/>
        <v>1.0033141025820622</v>
      </c>
      <c r="K110" s="62">
        <f t="shared" si="67"/>
        <v>1.0015844306490498</v>
      </c>
      <c r="L110" s="62">
        <f t="shared" si="68"/>
        <v>1.0012317211856352</v>
      </c>
      <c r="M110" s="62">
        <f t="shared" si="69"/>
        <v>1.0034298992021382</v>
      </c>
      <c r="N110" s="62">
        <f t="shared" si="57"/>
        <v>1.009592509561408</v>
      </c>
      <c r="O110" s="59">
        <f t="shared" si="70"/>
        <v>0</v>
      </c>
      <c r="P110" s="59">
        <f t="shared" si="58"/>
        <v>0</v>
      </c>
      <c r="Q110" s="59">
        <f t="shared" si="59"/>
        <v>0</v>
      </c>
      <c r="R110" s="60">
        <f t="shared" si="60"/>
        <v>6.3664629124104977E-10</v>
      </c>
      <c r="S110" s="64">
        <f t="shared" si="71"/>
        <v>8</v>
      </c>
      <c r="T110" s="3">
        <f t="shared" si="63"/>
        <v>9</v>
      </c>
      <c r="U110" s="63" t="str">
        <f t="shared" si="62"/>
        <v>A</v>
      </c>
      <c r="V110" s="63" t="str">
        <f t="shared" si="64"/>
        <v>A</v>
      </c>
      <c r="W110" s="84" t="str">
        <f t="shared" si="65"/>
        <v>Mensal</v>
      </c>
      <c r="X110" s="3">
        <f t="shared" si="53"/>
        <v>1</v>
      </c>
      <c r="Y110" s="3">
        <f t="shared" si="72"/>
        <v>1</v>
      </c>
      <c r="Z110" s="3">
        <f t="shared" si="73"/>
        <v>1</v>
      </c>
      <c r="AA110" s="3">
        <f t="shared" si="74"/>
        <v>8</v>
      </c>
      <c r="AJ110" s="5">
        <v>102</v>
      </c>
      <c r="AK110" s="130">
        <v>5.0000000000000001E-4</v>
      </c>
    </row>
    <row r="111" spans="1:37" x14ac:dyDescent="0.2">
      <c r="A111" s="76" t="str">
        <f t="shared" si="75"/>
        <v>2028</v>
      </c>
      <c r="B111" s="76" t="str">
        <f t="shared" si="76"/>
        <v>10/2028</v>
      </c>
      <c r="C111" s="55">
        <f t="shared" si="66"/>
        <v>45580</v>
      </c>
      <c r="D111" s="56">
        <f>WORKDAY((F111+14)-1,1,Feriados!$B$3:$B$626)</f>
        <v>45580</v>
      </c>
      <c r="E111" s="56">
        <f t="shared" si="61"/>
        <v>45549</v>
      </c>
      <c r="F111" s="56">
        <f t="shared" si="77"/>
        <v>45565</v>
      </c>
      <c r="G111" s="57">
        <f>VLOOKUP(F111,'Série IPCA'!$K$10:$L$997,2,FALSE)</f>
        <v>0.33141026089829934</v>
      </c>
      <c r="H111" s="58">
        <f>NETWORKDAYS(IF(C110="",D110,C110),D111,Feriados!$B$3:$B$626)-1</f>
        <v>20</v>
      </c>
      <c r="I111" s="58">
        <f>NETWORKDAYS(E111,D111,Feriados!$B$3:$B$626)-1</f>
        <v>20</v>
      </c>
      <c r="J111" s="62">
        <f t="shared" si="78"/>
        <v>1.0033141026089829</v>
      </c>
      <c r="K111" s="62">
        <f t="shared" si="67"/>
        <v>1.0014402878224715</v>
      </c>
      <c r="L111" s="62">
        <f t="shared" si="68"/>
        <v>1.0011196838688423</v>
      </c>
      <c r="M111" s="62">
        <f t="shared" si="69"/>
        <v>1.0031176046646693</v>
      </c>
      <c r="N111" s="62">
        <f t="shared" si="57"/>
        <v>1.0090201255209579</v>
      </c>
      <c r="O111" s="59">
        <f t="shared" si="70"/>
        <v>0</v>
      </c>
      <c r="P111" s="59">
        <f t="shared" si="58"/>
        <v>0</v>
      </c>
      <c r="Q111" s="59">
        <f t="shared" si="59"/>
        <v>0</v>
      </c>
      <c r="R111" s="60">
        <f t="shared" si="60"/>
        <v>6.3664629124104977E-10</v>
      </c>
      <c r="S111" s="64">
        <f t="shared" si="71"/>
        <v>7</v>
      </c>
      <c r="T111" s="3">
        <f t="shared" si="63"/>
        <v>8</v>
      </c>
      <c r="U111" s="63" t="str">
        <f t="shared" si="62"/>
        <v>A</v>
      </c>
      <c r="V111" s="63" t="str">
        <f t="shared" si="64"/>
        <v>A</v>
      </c>
      <c r="W111" s="84" t="str">
        <f t="shared" si="65"/>
        <v>Mensal</v>
      </c>
      <c r="X111" s="3">
        <f t="shared" si="53"/>
        <v>1</v>
      </c>
      <c r="Y111" s="3">
        <f t="shared" si="72"/>
        <v>1</v>
      </c>
      <c r="Z111" s="3">
        <f t="shared" si="73"/>
        <v>1</v>
      </c>
      <c r="AA111" s="3">
        <f t="shared" si="74"/>
        <v>7</v>
      </c>
      <c r="AJ111" s="5">
        <v>103</v>
      </c>
      <c r="AK111" s="130">
        <v>5.0000000000000001E-4</v>
      </c>
    </row>
    <row r="112" spans="1:37" x14ac:dyDescent="0.2">
      <c r="A112" s="76" t="str">
        <f t="shared" si="75"/>
        <v>2028</v>
      </c>
      <c r="B112" s="76" t="str">
        <f t="shared" si="76"/>
        <v>11/2028</v>
      </c>
      <c r="C112" s="55">
        <f t="shared" si="66"/>
        <v>45611</v>
      </c>
      <c r="D112" s="56">
        <f>WORKDAY((F112+14)-1,1,Feriados!$B$3:$B$626)</f>
        <v>45611</v>
      </c>
      <c r="E112" s="56">
        <f t="shared" si="61"/>
        <v>45579</v>
      </c>
      <c r="F112" s="56">
        <f t="shared" si="77"/>
        <v>45596</v>
      </c>
      <c r="G112" s="57">
        <f>VLOOKUP(F112,'Série IPCA'!$K$10:$L$997,2,FALSE)</f>
        <v>0.33141026143654201</v>
      </c>
      <c r="H112" s="58">
        <f>NETWORKDAYS(IF(C111="",D111,C111),D112,Feriados!$B$3:$B$626)-1</f>
        <v>21</v>
      </c>
      <c r="I112" s="58">
        <f>NETWORKDAYS(E112,D112,Feriados!$B$3:$B$626)-1</f>
        <v>21</v>
      </c>
      <c r="J112" s="62">
        <f t="shared" si="78"/>
        <v>1.0033141026143655</v>
      </c>
      <c r="K112" s="62">
        <f t="shared" si="67"/>
        <v>1.0015123566425381</v>
      </c>
      <c r="L112" s="62">
        <f t="shared" si="68"/>
        <v>1.0011757009600362</v>
      </c>
      <c r="M112" s="62">
        <f t="shared" si="69"/>
        <v>1.0032737397821989</v>
      </c>
      <c r="N112" s="62">
        <f t="shared" si="57"/>
        <v>1.009306276984808</v>
      </c>
      <c r="O112" s="59">
        <f t="shared" si="70"/>
        <v>0</v>
      </c>
      <c r="P112" s="59">
        <f t="shared" si="58"/>
        <v>0</v>
      </c>
      <c r="Q112" s="59">
        <f t="shared" si="59"/>
        <v>0</v>
      </c>
      <c r="R112" s="60">
        <f t="shared" si="60"/>
        <v>6.3664629124104977E-10</v>
      </c>
      <c r="S112" s="64">
        <f t="shared" si="71"/>
        <v>6</v>
      </c>
      <c r="T112" s="3">
        <f t="shared" si="63"/>
        <v>7</v>
      </c>
      <c r="U112" s="63" t="str">
        <f t="shared" si="62"/>
        <v>A</v>
      </c>
      <c r="V112" s="63" t="str">
        <f t="shared" si="64"/>
        <v>A</v>
      </c>
      <c r="W112" s="84" t="str">
        <f t="shared" si="65"/>
        <v>Mensal</v>
      </c>
      <c r="X112" s="3">
        <f t="shared" si="53"/>
        <v>1</v>
      </c>
      <c r="Y112" s="3">
        <f t="shared" si="72"/>
        <v>1</v>
      </c>
      <c r="Z112" s="3">
        <f t="shared" si="73"/>
        <v>1</v>
      </c>
      <c r="AA112" s="3">
        <f t="shared" si="74"/>
        <v>6</v>
      </c>
      <c r="AJ112" s="5">
        <v>104</v>
      </c>
      <c r="AK112" s="130">
        <v>5.0000000000000001E-4</v>
      </c>
    </row>
    <row r="113" spans="1:37" x14ac:dyDescent="0.2">
      <c r="A113" s="76" t="str">
        <f t="shared" si="75"/>
        <v>2028</v>
      </c>
      <c r="B113" s="76" t="str">
        <f t="shared" si="76"/>
        <v>12/2028</v>
      </c>
      <c r="C113" s="55">
        <f t="shared" si="66"/>
        <v>45640</v>
      </c>
      <c r="D113" s="56">
        <f>WORKDAY((F113+14)-1,1,Feriados!$B$3:$B$626)</f>
        <v>45640</v>
      </c>
      <c r="E113" s="56">
        <f t="shared" si="61"/>
        <v>45610</v>
      </c>
      <c r="F113" s="56">
        <f t="shared" si="77"/>
        <v>45626</v>
      </c>
      <c r="G113" s="57">
        <f>VLOOKUP(F113,'Série IPCA'!$K$10:$L$997,2,FALSE)</f>
        <v>0.3314102602407944</v>
      </c>
      <c r="H113" s="58">
        <f>NETWORKDAYS(IF(C112="",D112,C112),D113,Feriados!$B$3:$B$626)-1</f>
        <v>21</v>
      </c>
      <c r="I113" s="58">
        <f>NETWORKDAYS(E113,D113,Feriados!$B$3:$B$626)-1</f>
        <v>21</v>
      </c>
      <c r="J113" s="62">
        <f t="shared" si="78"/>
        <v>1.0033141026024079</v>
      </c>
      <c r="K113" s="62">
        <f t="shared" si="67"/>
        <v>1.0015123566425381</v>
      </c>
      <c r="L113" s="62">
        <f t="shared" si="68"/>
        <v>1.0011757009600362</v>
      </c>
      <c r="M113" s="62">
        <f t="shared" si="69"/>
        <v>1.0032737397821989</v>
      </c>
      <c r="N113" s="62">
        <f t="shared" si="57"/>
        <v>1.009306276972779</v>
      </c>
      <c r="O113" s="59">
        <f t="shared" si="70"/>
        <v>0</v>
      </c>
      <c r="P113" s="59">
        <f t="shared" si="58"/>
        <v>0</v>
      </c>
      <c r="Q113" s="59">
        <f t="shared" si="59"/>
        <v>0</v>
      </c>
      <c r="R113" s="60">
        <f t="shared" si="60"/>
        <v>6.3664629124104977E-10</v>
      </c>
      <c r="S113" s="64">
        <f t="shared" si="71"/>
        <v>5</v>
      </c>
      <c r="T113" s="3">
        <f t="shared" si="63"/>
        <v>6</v>
      </c>
      <c r="U113" s="63" t="str">
        <f t="shared" si="62"/>
        <v>A</v>
      </c>
      <c r="V113" s="63" t="str">
        <f t="shared" si="64"/>
        <v>A</v>
      </c>
      <c r="W113" s="84" t="str">
        <f t="shared" si="65"/>
        <v>Mensal</v>
      </c>
      <c r="X113" s="3">
        <f t="shared" si="53"/>
        <v>1</v>
      </c>
      <c r="Y113" s="3">
        <f t="shared" si="72"/>
        <v>1</v>
      </c>
      <c r="Z113" s="3">
        <f t="shared" si="73"/>
        <v>1</v>
      </c>
      <c r="AA113" s="3">
        <f t="shared" si="74"/>
        <v>5</v>
      </c>
      <c r="AJ113" s="5">
        <v>105</v>
      </c>
      <c r="AK113" s="130">
        <v>5.0000000000000001E-4</v>
      </c>
    </row>
    <row r="114" spans="1:37" x14ac:dyDescent="0.2">
      <c r="A114" s="76" t="str">
        <f t="shared" si="75"/>
        <v>2029</v>
      </c>
      <c r="B114" s="76" t="str">
        <f t="shared" si="76"/>
        <v>01/2029</v>
      </c>
      <c r="C114" s="55">
        <f t="shared" si="66"/>
        <v>45671</v>
      </c>
      <c r="D114" s="56">
        <f>WORKDAY((F114+14)-1,1,Feriados!$B$3:$B$626)</f>
        <v>45671</v>
      </c>
      <c r="E114" s="56">
        <f t="shared" si="61"/>
        <v>45640</v>
      </c>
      <c r="F114" s="56">
        <f t="shared" si="77"/>
        <v>45657</v>
      </c>
      <c r="G114" s="57">
        <f>VLOOKUP(F114,'Série IPCA'!$K$10:$L$997,2,FALSE)</f>
        <v>0.33141025815656888</v>
      </c>
      <c r="H114" s="58">
        <f>NETWORKDAYS(IF(C113="",D113,C113),D114,Feriados!$B$3:$B$626)-1</f>
        <v>19</v>
      </c>
      <c r="I114" s="58">
        <f>NETWORKDAYS(E114,D114,Feriados!$B$3:$B$626)-1</f>
        <v>19</v>
      </c>
      <c r="J114" s="62">
        <f t="shared" si="78"/>
        <v>1.0033141025815657</v>
      </c>
      <c r="K114" s="62">
        <f t="shared" si="67"/>
        <v>1.0013682241884765</v>
      </c>
      <c r="L114" s="62">
        <f t="shared" si="68"/>
        <v>1.0010636699118778</v>
      </c>
      <c r="M114" s="62">
        <f t="shared" si="69"/>
        <v>1.0029614938457672</v>
      </c>
      <c r="N114" s="62">
        <f t="shared" si="57"/>
        <v>1.0087340551626174</v>
      </c>
      <c r="O114" s="59">
        <f t="shared" si="70"/>
        <v>0</v>
      </c>
      <c r="P114" s="59">
        <f t="shared" si="58"/>
        <v>0</v>
      </c>
      <c r="Q114" s="59">
        <f t="shared" si="59"/>
        <v>0</v>
      </c>
      <c r="R114" s="60">
        <f t="shared" si="60"/>
        <v>6.3664629124104977E-10</v>
      </c>
      <c r="S114" s="64">
        <f t="shared" si="71"/>
        <v>4</v>
      </c>
      <c r="T114" s="3">
        <f t="shared" si="63"/>
        <v>5</v>
      </c>
      <c r="U114" s="63" t="str">
        <f t="shared" si="62"/>
        <v>A</v>
      </c>
      <c r="V114" s="63" t="str">
        <f t="shared" si="64"/>
        <v>A</v>
      </c>
      <c r="W114" s="84" t="str">
        <f t="shared" si="65"/>
        <v>Mensal</v>
      </c>
      <c r="X114" s="3">
        <f t="shared" si="53"/>
        <v>1</v>
      </c>
      <c r="Y114" s="3">
        <f t="shared" si="72"/>
        <v>1</v>
      </c>
      <c r="Z114" s="3">
        <f t="shared" si="73"/>
        <v>1</v>
      </c>
      <c r="AA114" s="3">
        <f t="shared" si="74"/>
        <v>4</v>
      </c>
      <c r="AJ114" s="5">
        <v>106</v>
      </c>
      <c r="AK114" s="130">
        <v>5.0000000000000001E-4</v>
      </c>
    </row>
    <row r="115" spans="1:37" x14ac:dyDescent="0.2">
      <c r="A115" s="76" t="str">
        <f t="shared" si="75"/>
        <v>2029</v>
      </c>
      <c r="B115" s="76" t="str">
        <f t="shared" si="76"/>
        <v>02/2029</v>
      </c>
      <c r="C115" s="55">
        <f t="shared" si="66"/>
        <v>45702</v>
      </c>
      <c r="D115" s="56">
        <f>WORKDAY((F115+14)-1,1,Feriados!$B$3:$B$626)</f>
        <v>45702</v>
      </c>
      <c r="E115" s="56">
        <f t="shared" si="61"/>
        <v>45671</v>
      </c>
      <c r="F115" s="56">
        <f t="shared" si="77"/>
        <v>45688</v>
      </c>
      <c r="G115" s="57">
        <f>VLOOKUP(F115,'Série IPCA'!$K$10:$L$997,2,FALSE)</f>
        <v>0.33141025608779112</v>
      </c>
      <c r="H115" s="58">
        <f>NETWORKDAYS(IF(C114="",D114,C114),D115,Feriados!$B$3:$B$626)-1</f>
        <v>21</v>
      </c>
      <c r="I115" s="58">
        <f>NETWORKDAYS(E115,D115,Feriados!$B$3:$B$626)-1</f>
        <v>21</v>
      </c>
      <c r="J115" s="62">
        <f t="shared" si="78"/>
        <v>1.0033141025608778</v>
      </c>
      <c r="K115" s="62">
        <f t="shared" si="67"/>
        <v>1.0015123566425381</v>
      </c>
      <c r="L115" s="62">
        <f t="shared" si="68"/>
        <v>1.0011757009600362</v>
      </c>
      <c r="M115" s="62">
        <f t="shared" si="69"/>
        <v>1.0032737397821989</v>
      </c>
      <c r="N115" s="62">
        <f t="shared" si="57"/>
        <v>1.0093062769310008</v>
      </c>
      <c r="O115" s="59">
        <f t="shared" si="70"/>
        <v>0</v>
      </c>
      <c r="P115" s="59">
        <f t="shared" si="58"/>
        <v>0</v>
      </c>
      <c r="Q115" s="59">
        <f t="shared" si="59"/>
        <v>0</v>
      </c>
      <c r="R115" s="60">
        <f t="shared" si="60"/>
        <v>6.3664629124104977E-10</v>
      </c>
      <c r="S115" s="64">
        <f t="shared" si="71"/>
        <v>3</v>
      </c>
      <c r="T115" s="3">
        <f t="shared" si="63"/>
        <v>4</v>
      </c>
      <c r="U115" s="63" t="str">
        <f t="shared" si="62"/>
        <v>A</v>
      </c>
      <c r="V115" s="63" t="str">
        <f t="shared" si="64"/>
        <v>A</v>
      </c>
      <c r="W115" s="84" t="str">
        <f t="shared" si="65"/>
        <v>Mensal</v>
      </c>
      <c r="X115" s="3">
        <f t="shared" si="53"/>
        <v>1</v>
      </c>
      <c r="Y115" s="3">
        <f t="shared" si="72"/>
        <v>1</v>
      </c>
      <c r="Z115" s="3">
        <f t="shared" si="73"/>
        <v>1</v>
      </c>
      <c r="AA115" s="3">
        <f t="shared" si="74"/>
        <v>3</v>
      </c>
      <c r="AJ115" s="5">
        <v>107</v>
      </c>
      <c r="AK115" s="130">
        <v>5.0000000000000001E-4</v>
      </c>
    </row>
    <row r="116" spans="1:37" x14ac:dyDescent="0.2">
      <c r="A116" s="76" t="str">
        <f t="shared" si="75"/>
        <v>2029</v>
      </c>
      <c r="B116" s="76" t="str">
        <f t="shared" si="76"/>
        <v>03/2029</v>
      </c>
      <c r="C116" s="55">
        <f t="shared" si="66"/>
        <v>45730</v>
      </c>
      <c r="D116" s="56">
        <f>WORKDAY((F116+14)-1,1,Feriados!$B$3:$B$626)</f>
        <v>45730</v>
      </c>
      <c r="E116" s="56">
        <f t="shared" si="61"/>
        <v>45702</v>
      </c>
      <c r="F116" s="56">
        <f t="shared" si="77"/>
        <v>45716</v>
      </c>
      <c r="G116" s="57">
        <f>VLOOKUP(F116,'Série IPCA'!$K$10:$L$997,2,FALSE)</f>
        <v>0.3314102546985413</v>
      </c>
      <c r="H116" s="58">
        <f>NETWORKDAYS(IF(C115="",D115,C115),D116,Feriados!$B$3:$B$626)-1</f>
        <v>20</v>
      </c>
      <c r="I116" s="58">
        <f>NETWORKDAYS(E116,D116,Feriados!$B$3:$B$626)-1</f>
        <v>20</v>
      </c>
      <c r="J116" s="62">
        <f t="shared" si="78"/>
        <v>1.0033141025469854</v>
      </c>
      <c r="K116" s="62">
        <f t="shared" si="67"/>
        <v>1.0014402878224715</v>
      </c>
      <c r="L116" s="62">
        <f t="shared" si="68"/>
        <v>1.0011196838688423</v>
      </c>
      <c r="M116" s="62">
        <f t="shared" si="69"/>
        <v>1.0031176046646693</v>
      </c>
      <c r="N116" s="62">
        <f t="shared" si="57"/>
        <v>1.0090201254586075</v>
      </c>
      <c r="O116" s="59">
        <f t="shared" si="70"/>
        <v>0</v>
      </c>
      <c r="P116" s="59">
        <f t="shared" si="58"/>
        <v>0</v>
      </c>
      <c r="Q116" s="59">
        <f t="shared" si="59"/>
        <v>0</v>
      </c>
      <c r="R116" s="60">
        <f t="shared" si="60"/>
        <v>6.3664629124104977E-10</v>
      </c>
      <c r="S116" s="64">
        <f t="shared" si="71"/>
        <v>2</v>
      </c>
      <c r="T116" s="3">
        <f t="shared" si="63"/>
        <v>3</v>
      </c>
      <c r="U116" s="63" t="str">
        <f t="shared" si="62"/>
        <v>A</v>
      </c>
      <c r="V116" s="63" t="str">
        <f t="shared" si="64"/>
        <v>A</v>
      </c>
      <c r="W116" s="84" t="str">
        <f t="shared" si="65"/>
        <v>Mensal</v>
      </c>
      <c r="X116" s="3">
        <f t="shared" si="53"/>
        <v>1</v>
      </c>
      <c r="Y116" s="3">
        <f t="shared" si="72"/>
        <v>1</v>
      </c>
      <c r="Z116" s="3">
        <f t="shared" si="73"/>
        <v>1</v>
      </c>
      <c r="AA116" s="3">
        <f t="shared" si="74"/>
        <v>2</v>
      </c>
      <c r="AJ116" s="5">
        <v>108</v>
      </c>
      <c r="AK116" s="130">
        <v>5.0000000000000001E-4</v>
      </c>
    </row>
    <row r="117" spans="1:37" x14ac:dyDescent="0.2">
      <c r="A117" s="76" t="str">
        <f t="shared" si="75"/>
        <v>2029</v>
      </c>
      <c r="B117" s="76" t="str">
        <f t="shared" si="76"/>
        <v>04/2029</v>
      </c>
      <c r="C117" s="55">
        <f t="shared" si="66"/>
        <v>45762</v>
      </c>
      <c r="D117" s="56">
        <f>WORKDAY((F117+14)-1,1,Feriados!$B$3:$B$626)</f>
        <v>45762</v>
      </c>
      <c r="E117" s="56">
        <f t="shared" si="61"/>
        <v>45730</v>
      </c>
      <c r="F117" s="56">
        <f t="shared" si="77"/>
        <v>45747</v>
      </c>
      <c r="G117" s="57">
        <f>VLOOKUP(F117,'Série IPCA'!$K$10:$L$997,2,FALSE)</f>
        <v>0.33141025425450593</v>
      </c>
      <c r="H117" s="58">
        <f>NETWORKDAYS(IF(C116="",D116,C116),D117,Feriados!$B$3:$B$626)-1</f>
        <v>21</v>
      </c>
      <c r="I117" s="58">
        <f>NETWORKDAYS(E117,D117,Feriados!$B$3:$B$626)-1</f>
        <v>21</v>
      </c>
      <c r="J117" s="62">
        <f t="shared" si="78"/>
        <v>1.0033141025425452</v>
      </c>
      <c r="K117" s="62">
        <f t="shared" si="67"/>
        <v>1.0015123566425381</v>
      </c>
      <c r="L117" s="62">
        <f t="shared" si="68"/>
        <v>1.0011757009600362</v>
      </c>
      <c r="M117" s="62">
        <f t="shared" si="69"/>
        <v>1.0032737397821989</v>
      </c>
      <c r="N117" s="62">
        <f t="shared" si="57"/>
        <v>1.0093062769125587</v>
      </c>
      <c r="O117" s="59">
        <f t="shared" si="70"/>
        <v>0</v>
      </c>
      <c r="P117" s="59">
        <f t="shared" si="58"/>
        <v>0</v>
      </c>
      <c r="Q117" s="59">
        <f t="shared" si="59"/>
        <v>0</v>
      </c>
      <c r="R117" s="60">
        <f t="shared" si="60"/>
        <v>6.3664629124104977E-10</v>
      </c>
      <c r="S117" s="64">
        <f t="shared" si="71"/>
        <v>1</v>
      </c>
      <c r="T117" s="3">
        <f t="shared" si="63"/>
        <v>2</v>
      </c>
      <c r="U117" s="63" t="str">
        <f t="shared" si="62"/>
        <v>A</v>
      </c>
      <c r="V117" s="63" t="str">
        <f t="shared" si="64"/>
        <v>A</v>
      </c>
      <c r="W117" s="84" t="str">
        <f t="shared" si="65"/>
        <v>Mensal</v>
      </c>
      <c r="X117" s="3">
        <f t="shared" si="53"/>
        <v>1</v>
      </c>
      <c r="Y117" s="3">
        <f t="shared" si="72"/>
        <v>1</v>
      </c>
      <c r="Z117" s="3">
        <f t="shared" si="73"/>
        <v>1</v>
      </c>
      <c r="AA117" s="3">
        <f t="shared" si="74"/>
        <v>1</v>
      </c>
      <c r="AJ117" s="5">
        <v>109</v>
      </c>
      <c r="AK117" s="130">
        <v>5.0000000000000001E-4</v>
      </c>
    </row>
    <row r="118" spans="1:37" x14ac:dyDescent="0.2">
      <c r="A118" s="76" t="str">
        <f t="shared" si="75"/>
        <v>2029</v>
      </c>
      <c r="B118" s="76" t="str">
        <f t="shared" si="76"/>
        <v>05/2029</v>
      </c>
      <c r="C118" s="55">
        <f t="shared" si="66"/>
        <v>45791</v>
      </c>
      <c r="D118" s="56">
        <f>WORKDAY((F118+14)-1,1,Feriados!$B$3:$B$626)</f>
        <v>45791</v>
      </c>
      <c r="E118" s="56">
        <f t="shared" si="61"/>
        <v>45761</v>
      </c>
      <c r="F118" s="56">
        <f t="shared" si="77"/>
        <v>45777</v>
      </c>
      <c r="G118" s="57">
        <f>VLOOKUP(F118,'Série IPCA'!$K$10:$L$997,2,FALSE)</f>
        <v>0.33141025463268881</v>
      </c>
      <c r="H118" s="58">
        <f>NETWORKDAYS(IF(C117="",D117,C117),D118,Feriados!$B$3:$B$626)-1</f>
        <v>20</v>
      </c>
      <c r="I118" s="58">
        <f>NETWORKDAYS(E118,D118,Feriados!$B$3:$B$626)-1</f>
        <v>20</v>
      </c>
      <c r="J118" s="62">
        <f t="shared" si="78"/>
        <v>1.0033141025463268</v>
      </c>
      <c r="K118" s="62">
        <f t="shared" si="67"/>
        <v>1.0014402878224715</v>
      </c>
      <c r="L118" s="62">
        <f t="shared" si="68"/>
        <v>1.0011196838688423</v>
      </c>
      <c r="M118" s="62">
        <f t="shared" si="69"/>
        <v>1.0031176046646693</v>
      </c>
      <c r="N118" s="62">
        <f t="shared" si="57"/>
        <v>1.0090201254579452</v>
      </c>
      <c r="O118" s="59">
        <f t="shared" si="70"/>
        <v>0</v>
      </c>
      <c r="P118" s="59">
        <f t="shared" si="58"/>
        <v>0</v>
      </c>
      <c r="Q118" s="59">
        <f t="shared" si="59"/>
        <v>0</v>
      </c>
      <c r="R118" s="60">
        <f t="shared" si="60"/>
        <v>6.3664629124104977E-10</v>
      </c>
      <c r="S118" s="64">
        <f t="shared" si="71"/>
        <v>48</v>
      </c>
      <c r="T118" s="3">
        <f t="shared" si="63"/>
        <v>1</v>
      </c>
      <c r="U118" s="63" t="str">
        <f t="shared" si="62"/>
        <v>A</v>
      </c>
      <c r="V118" s="63" t="str">
        <f t="shared" si="64"/>
        <v>A</v>
      </c>
      <c r="W118" s="84" t="str">
        <f t="shared" si="65"/>
        <v>Mensal</v>
      </c>
      <c r="X118" s="3">
        <f t="shared" si="53"/>
        <v>1</v>
      </c>
      <c r="Y118" s="3">
        <f t="shared" si="72"/>
        <v>1</v>
      </c>
      <c r="Z118" s="3">
        <f t="shared" si="73"/>
        <v>1</v>
      </c>
      <c r="AA118" s="3">
        <f t="shared" si="74"/>
        <v>48</v>
      </c>
      <c r="AJ118" s="5">
        <v>110</v>
      </c>
      <c r="AK118" s="130">
        <v>5.0000000000000001E-4</v>
      </c>
    </row>
    <row r="119" spans="1:37" x14ac:dyDescent="0.2">
      <c r="A119" s="76" t="str">
        <f t="shared" si="75"/>
        <v>2029</v>
      </c>
      <c r="B119" s="76" t="str">
        <f t="shared" si="76"/>
        <v>06/2029</v>
      </c>
      <c r="C119" s="55">
        <f t="shared" si="66"/>
        <v>45822</v>
      </c>
      <c r="D119" s="56">
        <f>WORKDAY((F119+14)-1,1,Feriados!$B$3:$B$626)</f>
        <v>45822</v>
      </c>
      <c r="E119" s="56">
        <f t="shared" si="61"/>
        <v>45791</v>
      </c>
      <c r="F119" s="56">
        <f t="shared" si="77"/>
        <v>45808</v>
      </c>
      <c r="G119" s="57">
        <f>VLOOKUP(F119,'Série IPCA'!$K$10:$L$997,2,FALSE)</f>
        <v>0.33141025546962827</v>
      </c>
      <c r="H119" s="58">
        <f>NETWORKDAYS(IF(C118="",D118,C118),D119,Feriados!$B$3:$B$626)-1</f>
        <v>22</v>
      </c>
      <c r="I119" s="58">
        <f>NETWORKDAYS(E119,D119,Feriados!$B$3:$B$626)-1</f>
        <v>22</v>
      </c>
      <c r="J119" s="62">
        <f t="shared" si="78"/>
        <v>1.0033141025546963</v>
      </c>
      <c r="K119" s="62">
        <f t="shared" si="67"/>
        <v>1.0015844306490498</v>
      </c>
      <c r="L119" s="62">
        <f t="shared" si="68"/>
        <v>1.0012317211856352</v>
      </c>
      <c r="M119" s="62">
        <f t="shared" si="69"/>
        <v>1.0034298992021382</v>
      </c>
      <c r="N119" s="62">
        <f t="shared" si="57"/>
        <v>1.0095925095338709</v>
      </c>
      <c r="O119" s="59">
        <f t="shared" si="70"/>
        <v>0</v>
      </c>
      <c r="P119" s="59">
        <f t="shared" si="58"/>
        <v>0</v>
      </c>
      <c r="Q119" s="59">
        <f t="shared" si="59"/>
        <v>0</v>
      </c>
      <c r="R119" s="60">
        <f t="shared" si="60"/>
        <v>6.3664629124104977E-10</v>
      </c>
      <c r="S119" s="64">
        <f t="shared" si="71"/>
        <v>47</v>
      </c>
      <c r="T119" s="3">
        <f t="shared" si="63"/>
        <v>0</v>
      </c>
      <c r="U119" s="63" t="str">
        <f t="shared" si="62"/>
        <v>A</v>
      </c>
      <c r="V119" s="63" t="str">
        <f t="shared" si="64"/>
        <v>A</v>
      </c>
      <c r="W119" s="84" t="str">
        <f t="shared" si="65"/>
        <v>Mensal</v>
      </c>
      <c r="X119" s="3">
        <f t="shared" si="53"/>
        <v>1</v>
      </c>
      <c r="Y119" s="3">
        <f t="shared" si="72"/>
        <v>1</v>
      </c>
      <c r="Z119" s="3">
        <f t="shared" si="73"/>
        <v>1</v>
      </c>
      <c r="AA119" s="3">
        <f t="shared" si="74"/>
        <v>47</v>
      </c>
      <c r="AJ119" s="5">
        <v>111</v>
      </c>
      <c r="AK119" s="130">
        <v>5.0000000000000001E-4</v>
      </c>
    </row>
    <row r="120" spans="1:37" x14ac:dyDescent="0.2">
      <c r="A120" s="76" t="str">
        <f t="shared" si="75"/>
        <v>2029</v>
      </c>
      <c r="B120" s="76" t="str">
        <f t="shared" si="76"/>
        <v>07/2029</v>
      </c>
      <c r="C120" s="55">
        <f t="shared" si="66"/>
        <v>45853</v>
      </c>
      <c r="D120" s="56">
        <f>WORKDAY((F120+14)-1,1,Feriados!$B$3:$B$626)</f>
        <v>45853</v>
      </c>
      <c r="E120" s="56">
        <f t="shared" si="61"/>
        <v>45822</v>
      </c>
      <c r="F120" s="56">
        <f t="shared" si="77"/>
        <v>45838</v>
      </c>
      <c r="G120" s="57">
        <f>VLOOKUP(F120,'Série IPCA'!$K$10:$L$997,2,FALSE)</f>
        <v>0.33141025636073035</v>
      </c>
      <c r="H120" s="58">
        <f>NETWORKDAYS(IF(C119="",D119,C119),D120,Feriados!$B$3:$B$626)-1</f>
        <v>21</v>
      </c>
      <c r="I120" s="58">
        <f>NETWORKDAYS(E120,D120,Feriados!$B$3:$B$626)-1</f>
        <v>21</v>
      </c>
      <c r="J120" s="62">
        <f t="shared" si="78"/>
        <v>1.0033141025636072</v>
      </c>
      <c r="K120" s="62">
        <f t="shared" si="67"/>
        <v>1.0015123566425381</v>
      </c>
      <c r="L120" s="62">
        <f t="shared" si="68"/>
        <v>1.0011757009600362</v>
      </c>
      <c r="M120" s="62">
        <f t="shared" si="69"/>
        <v>1.0032737397821989</v>
      </c>
      <c r="N120" s="62">
        <f t="shared" si="57"/>
        <v>1.0093062769337466</v>
      </c>
      <c r="O120" s="59">
        <f t="shared" si="70"/>
        <v>0</v>
      </c>
      <c r="P120" s="59">
        <f t="shared" si="58"/>
        <v>0</v>
      </c>
      <c r="Q120" s="59">
        <f t="shared" si="59"/>
        <v>0</v>
      </c>
      <c r="R120" s="60">
        <f t="shared" si="60"/>
        <v>6.3664629124104977E-10</v>
      </c>
      <c r="S120" s="64">
        <f t="shared" si="71"/>
        <v>46</v>
      </c>
      <c r="T120" s="3">
        <f t="shared" si="63"/>
        <v>48</v>
      </c>
      <c r="U120" s="63" t="str">
        <f t="shared" si="62"/>
        <v>A</v>
      </c>
      <c r="V120" s="63" t="str">
        <f t="shared" si="64"/>
        <v>A</v>
      </c>
      <c r="W120" s="84" t="str">
        <f t="shared" si="65"/>
        <v>Mensal</v>
      </c>
      <c r="X120" s="3">
        <f t="shared" si="53"/>
        <v>1</v>
      </c>
      <c r="Y120" s="3">
        <f t="shared" si="72"/>
        <v>1</v>
      </c>
      <c r="Z120" s="3">
        <f t="shared" si="73"/>
        <v>1</v>
      </c>
      <c r="AA120" s="3">
        <f t="shared" si="74"/>
        <v>46</v>
      </c>
      <c r="AJ120" s="5">
        <v>112</v>
      </c>
      <c r="AK120" s="130">
        <v>4.0000000000000002E-4</v>
      </c>
    </row>
    <row r="121" spans="1:37" x14ac:dyDescent="0.2">
      <c r="A121" s="76" t="str">
        <f t="shared" si="75"/>
        <v>2029</v>
      </c>
      <c r="B121" s="76" t="str">
        <f t="shared" si="76"/>
        <v>08/2029</v>
      </c>
      <c r="C121" s="55">
        <f t="shared" si="66"/>
        <v>45883</v>
      </c>
      <c r="D121" s="56">
        <f>WORKDAY((F121+14)-1,1,Feriados!$B$3:$B$626)</f>
        <v>45883</v>
      </c>
      <c r="E121" s="56">
        <f t="shared" si="61"/>
        <v>45852</v>
      </c>
      <c r="F121" s="56">
        <f t="shared" si="77"/>
        <v>45869</v>
      </c>
      <c r="G121" s="57">
        <f>VLOOKUP(F121,'Série IPCA'!$K$10:$L$997,2,FALSE)</f>
        <v>0.33141025701086979</v>
      </c>
      <c r="H121" s="58">
        <f>NETWORKDAYS(IF(C120="",D120,C120),D121,Feriados!$B$3:$B$626)-1</f>
        <v>22</v>
      </c>
      <c r="I121" s="58">
        <f>NETWORKDAYS(E121,D121,Feriados!$B$3:$B$626)-1</f>
        <v>22</v>
      </c>
      <c r="J121" s="62">
        <f t="shared" si="78"/>
        <v>1.0033141025701087</v>
      </c>
      <c r="K121" s="62">
        <f t="shared" si="67"/>
        <v>1.0015844306490498</v>
      </c>
      <c r="L121" s="62">
        <f t="shared" si="68"/>
        <v>1.0012317211856352</v>
      </c>
      <c r="M121" s="62">
        <f t="shared" si="69"/>
        <v>1.0034298992021382</v>
      </c>
      <c r="N121" s="62">
        <f t="shared" si="57"/>
        <v>1.0095925095493798</v>
      </c>
      <c r="O121" s="59">
        <f t="shared" si="70"/>
        <v>0</v>
      </c>
      <c r="P121" s="59">
        <f t="shared" si="58"/>
        <v>0</v>
      </c>
      <c r="Q121" s="59">
        <f t="shared" si="59"/>
        <v>0</v>
      </c>
      <c r="R121" s="60">
        <f t="shared" si="60"/>
        <v>6.3664629124104977E-10</v>
      </c>
      <c r="S121" s="64">
        <f t="shared" si="71"/>
        <v>45</v>
      </c>
      <c r="T121" s="3">
        <f t="shared" si="63"/>
        <v>47</v>
      </c>
      <c r="U121" s="63" t="str">
        <f t="shared" si="62"/>
        <v>A</v>
      </c>
      <c r="V121" s="63" t="str">
        <f t="shared" si="64"/>
        <v>A</v>
      </c>
      <c r="W121" s="84" t="str">
        <f t="shared" si="65"/>
        <v>Mensal</v>
      </c>
      <c r="X121" s="3">
        <f t="shared" si="53"/>
        <v>1</v>
      </c>
      <c r="Y121" s="3">
        <f t="shared" si="72"/>
        <v>1</v>
      </c>
      <c r="Z121" s="3">
        <f t="shared" si="73"/>
        <v>1</v>
      </c>
      <c r="AA121" s="3">
        <f t="shared" si="74"/>
        <v>45</v>
      </c>
      <c r="AJ121" s="5">
        <v>113</v>
      </c>
      <c r="AK121" s="130">
        <v>4.0000000000000002E-4</v>
      </c>
    </row>
    <row r="122" spans="1:37" x14ac:dyDescent="0.2">
      <c r="A122" s="76" t="str">
        <f t="shared" si="75"/>
        <v>2029</v>
      </c>
      <c r="B122" s="76" t="str">
        <f t="shared" si="76"/>
        <v>09/2029</v>
      </c>
      <c r="C122" s="55">
        <f t="shared" si="66"/>
        <v>45916</v>
      </c>
      <c r="D122" s="56">
        <f>WORKDAY((F122+14)-1,1,Feriados!$B$3:$B$626)</f>
        <v>45916</v>
      </c>
      <c r="E122" s="56">
        <f t="shared" si="61"/>
        <v>45883</v>
      </c>
      <c r="F122" s="56">
        <f t="shared" si="77"/>
        <v>45900</v>
      </c>
      <c r="G122" s="57">
        <f>VLOOKUP(F122,'Série IPCA'!$K$10:$L$997,2,FALSE)</f>
        <v>0.33141025728776446</v>
      </c>
      <c r="H122" s="58">
        <f>NETWORKDAYS(IF(C121="",D121,C121),D122,Feriados!$B$3:$B$626)-1</f>
        <v>22</v>
      </c>
      <c r="I122" s="58">
        <f>NETWORKDAYS(E122,D122,Feriados!$B$3:$B$626)-1</f>
        <v>22</v>
      </c>
      <c r="J122" s="62">
        <f t="shared" si="78"/>
        <v>1.0033141025728776</v>
      </c>
      <c r="K122" s="62">
        <f t="shared" si="67"/>
        <v>1.0015844306490498</v>
      </c>
      <c r="L122" s="62">
        <f t="shared" si="68"/>
        <v>1.0012317211856352</v>
      </c>
      <c r="M122" s="62">
        <f t="shared" si="69"/>
        <v>1.0034298992021382</v>
      </c>
      <c r="N122" s="62">
        <f t="shared" si="57"/>
        <v>1.0095925095521658</v>
      </c>
      <c r="O122" s="59">
        <f t="shared" si="70"/>
        <v>0</v>
      </c>
      <c r="P122" s="59">
        <f t="shared" si="58"/>
        <v>0</v>
      </c>
      <c r="Q122" s="59">
        <f t="shared" si="59"/>
        <v>0</v>
      </c>
      <c r="R122" s="60">
        <f t="shared" si="60"/>
        <v>6.3664629124104977E-10</v>
      </c>
      <c r="S122" s="64">
        <f t="shared" si="71"/>
        <v>44</v>
      </c>
      <c r="T122" s="3">
        <f t="shared" si="63"/>
        <v>46</v>
      </c>
      <c r="U122" s="63" t="str">
        <f t="shared" si="62"/>
        <v>A</v>
      </c>
      <c r="V122" s="63" t="str">
        <f t="shared" si="64"/>
        <v>A</v>
      </c>
      <c r="W122" s="84" t="str">
        <f t="shared" si="65"/>
        <v>Mensal</v>
      </c>
      <c r="X122" s="3">
        <f t="shared" si="53"/>
        <v>1</v>
      </c>
      <c r="Y122" s="3">
        <f t="shared" si="72"/>
        <v>1</v>
      </c>
      <c r="Z122" s="3">
        <f t="shared" si="73"/>
        <v>1</v>
      </c>
      <c r="AA122" s="3">
        <f t="shared" si="74"/>
        <v>44</v>
      </c>
      <c r="AJ122" s="5">
        <v>114</v>
      </c>
      <c r="AK122" s="130">
        <v>4.0000000000000002E-4</v>
      </c>
    </row>
    <row r="123" spans="1:37" x14ac:dyDescent="0.2">
      <c r="A123" s="76" t="str">
        <f t="shared" si="75"/>
        <v>2029</v>
      </c>
      <c r="B123" s="76" t="str">
        <f t="shared" si="76"/>
        <v>10/2029</v>
      </c>
      <c r="C123" s="55">
        <f t="shared" si="66"/>
        <v>45944</v>
      </c>
      <c r="D123" s="56">
        <f>WORKDAY((F123+14)-1,1,Feriados!$B$3:$B$626)</f>
        <v>45944</v>
      </c>
      <c r="E123" s="56">
        <f t="shared" si="61"/>
        <v>45914</v>
      </c>
      <c r="F123" s="56">
        <f t="shared" si="77"/>
        <v>45930</v>
      </c>
      <c r="G123" s="57">
        <f>VLOOKUP(F123,'Série IPCA'!$K$10:$L$997,2,FALSE)</f>
        <v>0.33141025721122708</v>
      </c>
      <c r="H123" s="58">
        <f>NETWORKDAYS(IF(C122="",D122,C122),D123,Feriados!$B$3:$B$626)-1</f>
        <v>19</v>
      </c>
      <c r="I123" s="58">
        <f>NETWORKDAYS(E123,D123,Feriados!$B$3:$B$626)-1</f>
        <v>19</v>
      </c>
      <c r="J123" s="62">
        <f t="shared" si="78"/>
        <v>1.0033141025721122</v>
      </c>
      <c r="K123" s="62">
        <f t="shared" si="67"/>
        <v>1.0013682241884765</v>
      </c>
      <c r="L123" s="62">
        <f t="shared" si="68"/>
        <v>1.0010636699118778</v>
      </c>
      <c r="M123" s="62">
        <f t="shared" si="69"/>
        <v>1.0029614938457672</v>
      </c>
      <c r="N123" s="62">
        <f t="shared" si="57"/>
        <v>1.0087340551531125</v>
      </c>
      <c r="O123" s="59">
        <f t="shared" si="70"/>
        <v>0</v>
      </c>
      <c r="P123" s="59">
        <f t="shared" si="58"/>
        <v>0</v>
      </c>
      <c r="Q123" s="59">
        <f t="shared" si="59"/>
        <v>0</v>
      </c>
      <c r="R123" s="60">
        <f t="shared" si="60"/>
        <v>6.3664629124104977E-10</v>
      </c>
      <c r="S123" s="64">
        <f t="shared" si="71"/>
        <v>43</v>
      </c>
      <c r="T123" s="3">
        <f t="shared" si="63"/>
        <v>45</v>
      </c>
      <c r="U123" s="63" t="str">
        <f t="shared" si="62"/>
        <v>A</v>
      </c>
      <c r="V123" s="63" t="str">
        <f t="shared" si="64"/>
        <v>A</v>
      </c>
      <c r="W123" s="84" t="str">
        <f t="shared" si="65"/>
        <v>Mensal</v>
      </c>
      <c r="X123" s="3">
        <f t="shared" si="53"/>
        <v>1</v>
      </c>
      <c r="Y123" s="3">
        <f t="shared" si="72"/>
        <v>1</v>
      </c>
      <c r="Z123" s="3">
        <f t="shared" si="73"/>
        <v>1</v>
      </c>
      <c r="AA123" s="3">
        <f t="shared" si="74"/>
        <v>43</v>
      </c>
      <c r="AJ123" s="5">
        <v>115</v>
      </c>
      <c r="AK123" s="130">
        <v>4.0000000000000002E-4</v>
      </c>
    </row>
    <row r="124" spans="1:37" x14ac:dyDescent="0.2">
      <c r="A124" s="76" t="str">
        <f t="shared" si="75"/>
        <v>2029</v>
      </c>
      <c r="B124" s="76" t="str">
        <f t="shared" si="76"/>
        <v>11/2029</v>
      </c>
      <c r="C124" s="55">
        <f t="shared" si="66"/>
        <v>45976</v>
      </c>
      <c r="D124" s="56">
        <f>WORKDAY((F124+14)-1,1,Feriados!$B$3:$B$626)</f>
        <v>45976</v>
      </c>
      <c r="E124" s="56">
        <f t="shared" si="61"/>
        <v>45944</v>
      </c>
      <c r="F124" s="56">
        <f t="shared" si="77"/>
        <v>45961</v>
      </c>
      <c r="G124" s="57">
        <f>VLOOKUP(F124,'Série IPCA'!$K$10:$L$997,2,FALSE)</f>
        <v>0.33141025690397102</v>
      </c>
      <c r="H124" s="58">
        <f>NETWORKDAYS(IF(C123="",D123,C123),D124,Feriados!$B$3:$B$626)-1</f>
        <v>22</v>
      </c>
      <c r="I124" s="58">
        <f>NETWORKDAYS(E124,D124,Feriados!$B$3:$B$626)-1</f>
        <v>22</v>
      </c>
      <c r="J124" s="62">
        <f t="shared" si="78"/>
        <v>1.0033141025690397</v>
      </c>
      <c r="K124" s="62">
        <f t="shared" si="67"/>
        <v>1.0015844306490498</v>
      </c>
      <c r="L124" s="62">
        <f t="shared" si="68"/>
        <v>1.0012317211856352</v>
      </c>
      <c r="M124" s="62">
        <f t="shared" si="69"/>
        <v>1.0034298992021382</v>
      </c>
      <c r="N124" s="62">
        <f t="shared" si="57"/>
        <v>1.0095925095483043</v>
      </c>
      <c r="O124" s="59">
        <f t="shared" si="70"/>
        <v>0</v>
      </c>
      <c r="P124" s="59">
        <f t="shared" si="58"/>
        <v>0</v>
      </c>
      <c r="Q124" s="59">
        <f t="shared" si="59"/>
        <v>0</v>
      </c>
      <c r="R124" s="60">
        <f t="shared" si="60"/>
        <v>6.3664629124104977E-10</v>
      </c>
      <c r="S124" s="64">
        <f t="shared" si="71"/>
        <v>42</v>
      </c>
      <c r="T124" s="3">
        <f t="shared" si="63"/>
        <v>44</v>
      </c>
      <c r="U124" s="63" t="str">
        <f t="shared" si="62"/>
        <v>A</v>
      </c>
      <c r="V124" s="63" t="str">
        <f t="shared" si="64"/>
        <v>A</v>
      </c>
      <c r="W124" s="84" t="str">
        <f t="shared" si="65"/>
        <v>Mensal</v>
      </c>
      <c r="X124" s="3">
        <f t="shared" si="53"/>
        <v>1</v>
      </c>
      <c r="Y124" s="3">
        <f t="shared" si="72"/>
        <v>1</v>
      </c>
      <c r="Z124" s="3">
        <f t="shared" si="73"/>
        <v>1</v>
      </c>
      <c r="AA124" s="3">
        <f t="shared" si="74"/>
        <v>42</v>
      </c>
      <c r="AJ124" s="5">
        <v>116</v>
      </c>
      <c r="AK124" s="130">
        <v>4.0000000000000002E-4</v>
      </c>
    </row>
    <row r="125" spans="1:37" x14ac:dyDescent="0.2">
      <c r="A125" s="76" t="str">
        <f t="shared" si="75"/>
        <v>2029</v>
      </c>
      <c r="B125" s="76" t="str">
        <f t="shared" si="76"/>
        <v>12/2029</v>
      </c>
      <c r="C125" s="55">
        <f t="shared" si="66"/>
        <v>46007</v>
      </c>
      <c r="D125" s="56">
        <f>WORKDAY((F125+14)-1,1,Feriados!$B$3:$B$626)</f>
        <v>46007</v>
      </c>
      <c r="E125" s="56">
        <f t="shared" si="61"/>
        <v>45975</v>
      </c>
      <c r="F125" s="56">
        <f t="shared" si="77"/>
        <v>45991</v>
      </c>
      <c r="G125" s="57">
        <f>VLOOKUP(F125,'Série IPCA'!$K$10:$L$997,2,FALSE)</f>
        <v>0.33141025652625677</v>
      </c>
      <c r="H125" s="58">
        <f>NETWORKDAYS(IF(C124="",D124,C124),D125,Feriados!$B$3:$B$626)-1</f>
        <v>21</v>
      </c>
      <c r="I125" s="58">
        <f>NETWORKDAYS(E125,D125,Feriados!$B$3:$B$626)-1</f>
        <v>21</v>
      </c>
      <c r="J125" s="62">
        <f t="shared" si="78"/>
        <v>1.0033141025652625</v>
      </c>
      <c r="K125" s="62">
        <f t="shared" si="67"/>
        <v>1.0015123566425381</v>
      </c>
      <c r="L125" s="62">
        <f t="shared" si="68"/>
        <v>1.0011757009600362</v>
      </c>
      <c r="M125" s="62">
        <f t="shared" si="69"/>
        <v>1.0032737397821989</v>
      </c>
      <c r="N125" s="62">
        <f t="shared" si="57"/>
        <v>1.0093062769354118</v>
      </c>
      <c r="O125" s="59">
        <f t="shared" si="70"/>
        <v>0</v>
      </c>
      <c r="P125" s="59">
        <f t="shared" si="58"/>
        <v>0</v>
      </c>
      <c r="Q125" s="59">
        <f t="shared" si="59"/>
        <v>0</v>
      </c>
      <c r="R125" s="60">
        <f t="shared" si="60"/>
        <v>6.3664629124104977E-10</v>
      </c>
      <c r="S125" s="64">
        <f t="shared" si="71"/>
        <v>41</v>
      </c>
      <c r="T125" s="3">
        <f t="shared" si="63"/>
        <v>43</v>
      </c>
      <c r="U125" s="63" t="str">
        <f t="shared" si="62"/>
        <v>A</v>
      </c>
      <c r="V125" s="63" t="str">
        <f t="shared" si="64"/>
        <v>A</v>
      </c>
      <c r="W125" s="84" t="str">
        <f t="shared" si="65"/>
        <v>Mensal</v>
      </c>
      <c r="X125" s="3">
        <f t="shared" si="53"/>
        <v>1</v>
      </c>
      <c r="Y125" s="3">
        <f t="shared" si="72"/>
        <v>1</v>
      </c>
      <c r="Z125" s="3">
        <f t="shared" si="73"/>
        <v>1</v>
      </c>
      <c r="AA125" s="3">
        <f t="shared" si="74"/>
        <v>41</v>
      </c>
      <c r="AJ125" s="5">
        <v>117</v>
      </c>
      <c r="AK125" s="130">
        <v>4.0000000000000002E-4</v>
      </c>
    </row>
    <row r="126" spans="1:37" x14ac:dyDescent="0.2">
      <c r="A126" s="76" t="str">
        <f t="shared" si="75"/>
        <v>2030</v>
      </c>
      <c r="B126" s="76" t="str">
        <f t="shared" si="76"/>
        <v>01/2030</v>
      </c>
      <c r="C126" s="55">
        <f t="shared" si="66"/>
        <v>46036</v>
      </c>
      <c r="D126" s="56">
        <f>WORKDAY((F126+14)-1,1,Feriados!$B$3:$B$626)</f>
        <v>46036</v>
      </c>
      <c r="E126" s="56">
        <f t="shared" si="61"/>
        <v>46005</v>
      </c>
      <c r="F126" s="56">
        <f t="shared" si="77"/>
        <v>46022</v>
      </c>
      <c r="G126" s="57">
        <f>VLOOKUP(F126,'Série IPCA'!$K$10:$L$997,2,FALSE)</f>
        <v>0.33141025621671194</v>
      </c>
      <c r="H126" s="58">
        <f>NETWORKDAYS(IF(C125="",D125,C125),D126,Feriados!$B$3:$B$626)-1</f>
        <v>19</v>
      </c>
      <c r="I126" s="58">
        <f>NETWORKDAYS(E126,D126,Feriados!$B$3:$B$626)-1</f>
        <v>19</v>
      </c>
      <c r="J126" s="62">
        <f t="shared" si="78"/>
        <v>1.003314102562167</v>
      </c>
      <c r="K126" s="62">
        <f t="shared" si="67"/>
        <v>1.0013682241884765</v>
      </c>
      <c r="L126" s="62">
        <f t="shared" si="68"/>
        <v>1.0010636699118778</v>
      </c>
      <c r="M126" s="62">
        <f t="shared" si="69"/>
        <v>1.0029614938457672</v>
      </c>
      <c r="N126" s="62">
        <f t="shared" si="57"/>
        <v>1.0087340551431137</v>
      </c>
      <c r="O126" s="59">
        <f t="shared" si="70"/>
        <v>0</v>
      </c>
      <c r="P126" s="59">
        <f t="shared" si="58"/>
        <v>0</v>
      </c>
      <c r="Q126" s="59">
        <f t="shared" si="59"/>
        <v>0</v>
      </c>
      <c r="R126" s="60">
        <f t="shared" si="60"/>
        <v>6.3664629124104977E-10</v>
      </c>
      <c r="S126" s="64">
        <f t="shared" si="71"/>
        <v>40</v>
      </c>
      <c r="T126" s="3">
        <f t="shared" si="63"/>
        <v>42</v>
      </c>
      <c r="U126" s="63" t="str">
        <f t="shared" si="62"/>
        <v>A</v>
      </c>
      <c r="V126" s="63" t="str">
        <f t="shared" si="64"/>
        <v>A</v>
      </c>
      <c r="W126" s="84" t="str">
        <f t="shared" si="65"/>
        <v>Mensal</v>
      </c>
      <c r="X126" s="3">
        <f t="shared" si="53"/>
        <v>1</v>
      </c>
      <c r="Y126" s="3">
        <f t="shared" si="72"/>
        <v>1</v>
      </c>
      <c r="Z126" s="3">
        <f t="shared" si="73"/>
        <v>1</v>
      </c>
      <c r="AA126" s="3">
        <f t="shared" si="74"/>
        <v>40</v>
      </c>
      <c r="AJ126" s="5">
        <v>118</v>
      </c>
      <c r="AK126" s="130">
        <v>4.0000000000000002E-4</v>
      </c>
    </row>
    <row r="127" spans="1:37" x14ac:dyDescent="0.2">
      <c r="A127" s="76" t="str">
        <f t="shared" si="75"/>
        <v>2030</v>
      </c>
      <c r="B127" s="76" t="str">
        <f t="shared" si="76"/>
        <v>02/2030</v>
      </c>
      <c r="C127" s="55">
        <f t="shared" si="66"/>
        <v>46067</v>
      </c>
      <c r="D127" s="56">
        <f>WORKDAY((F127+14)-1,1,Feriados!$B$3:$B$626)</f>
        <v>46067</v>
      </c>
      <c r="E127" s="56">
        <f t="shared" si="61"/>
        <v>46036</v>
      </c>
      <c r="F127" s="56">
        <f t="shared" si="77"/>
        <v>46053</v>
      </c>
      <c r="G127" s="57">
        <f>VLOOKUP(F127,'Série IPCA'!$K$10:$L$997,2,FALSE)</f>
        <v>0.3314102560550572</v>
      </c>
      <c r="H127" s="58">
        <f>NETWORKDAYS(IF(C126="",D126,C126),D127,Feriados!$B$3:$B$626)-1</f>
        <v>23</v>
      </c>
      <c r="I127" s="58">
        <f>NETWORKDAYS(E127,D127,Feriados!$B$3:$B$626)-1</f>
        <v>23</v>
      </c>
      <c r="J127" s="62">
        <f t="shared" si="78"/>
        <v>1.0033141025605505</v>
      </c>
      <c r="K127" s="62">
        <f t="shared" si="67"/>
        <v>1.0016565098423793</v>
      </c>
      <c r="L127" s="62">
        <f t="shared" si="68"/>
        <v>1.0012877445458146</v>
      </c>
      <c r="M127" s="62">
        <f t="shared" si="69"/>
        <v>1.0035860829282697</v>
      </c>
      <c r="N127" s="62">
        <f t="shared" si="57"/>
        <v>1.0098788233225335</v>
      </c>
      <c r="O127" s="59">
        <f t="shared" si="70"/>
        <v>0</v>
      </c>
      <c r="P127" s="59">
        <f t="shared" si="58"/>
        <v>0</v>
      </c>
      <c r="Q127" s="59">
        <f t="shared" si="59"/>
        <v>0</v>
      </c>
      <c r="R127" s="60">
        <f t="shared" si="60"/>
        <v>6.3664629124104977E-10</v>
      </c>
      <c r="S127" s="64">
        <f t="shared" si="71"/>
        <v>39</v>
      </c>
      <c r="T127" s="3">
        <f t="shared" si="63"/>
        <v>41</v>
      </c>
      <c r="U127" s="63" t="str">
        <f t="shared" si="62"/>
        <v>A</v>
      </c>
      <c r="V127" s="63" t="str">
        <f t="shared" si="64"/>
        <v>A</v>
      </c>
      <c r="W127" s="84" t="str">
        <f t="shared" si="65"/>
        <v>Mensal</v>
      </c>
      <c r="X127" s="3">
        <f t="shared" si="53"/>
        <v>1</v>
      </c>
      <c r="Y127" s="3">
        <f t="shared" si="72"/>
        <v>1</v>
      </c>
      <c r="Z127" s="3">
        <f t="shared" si="73"/>
        <v>1</v>
      </c>
      <c r="AA127" s="3">
        <f t="shared" si="74"/>
        <v>39</v>
      </c>
      <c r="AJ127" s="5">
        <v>119</v>
      </c>
      <c r="AK127" s="130">
        <v>4.0000000000000002E-4</v>
      </c>
    </row>
    <row r="128" spans="1:37" x14ac:dyDescent="0.2">
      <c r="A128" s="76" t="str">
        <f t="shared" si="75"/>
        <v>2030</v>
      </c>
      <c r="B128" s="76" t="str">
        <f t="shared" si="76"/>
        <v>03/2030</v>
      </c>
      <c r="C128" s="55">
        <f t="shared" si="66"/>
        <v>46095</v>
      </c>
      <c r="D128" s="56">
        <f>WORKDAY((F128+14)-1,1,Feriados!$B$3:$B$626)</f>
        <v>46095</v>
      </c>
      <c r="E128" s="56">
        <f t="shared" si="61"/>
        <v>46067</v>
      </c>
      <c r="F128" s="56">
        <f t="shared" si="77"/>
        <v>46081</v>
      </c>
      <c r="G128" s="57">
        <f>VLOOKUP(F128,'Série IPCA'!$K$10:$L$997,2,FALSE)</f>
        <v>0.33141025605232938</v>
      </c>
      <c r="H128" s="58">
        <f>NETWORKDAYS(IF(C127="",D127,C127),D128,Feriados!$B$3:$B$626)-1</f>
        <v>18</v>
      </c>
      <c r="I128" s="58">
        <f>NETWORKDAYS(E128,D128,Feriados!$B$3:$B$626)-1</f>
        <v>18</v>
      </c>
      <c r="J128" s="62">
        <f t="shared" si="78"/>
        <v>1.0033141025605232</v>
      </c>
      <c r="K128" s="62">
        <f t="shared" si="67"/>
        <v>1.0012961657401798</v>
      </c>
      <c r="L128" s="62">
        <f t="shared" si="68"/>
        <v>1.0010076590889676</v>
      </c>
      <c r="M128" s="62">
        <f t="shared" si="69"/>
        <v>1.0028054073217112</v>
      </c>
      <c r="N128" s="62">
        <f t="shared" si="57"/>
        <v>1.0084480659153596</v>
      </c>
      <c r="O128" s="59">
        <f t="shared" si="70"/>
        <v>0</v>
      </c>
      <c r="P128" s="59">
        <f t="shared" si="58"/>
        <v>0</v>
      </c>
      <c r="Q128" s="59">
        <f t="shared" si="59"/>
        <v>0</v>
      </c>
      <c r="R128" s="60">
        <f t="shared" si="60"/>
        <v>6.3664629124104977E-10</v>
      </c>
      <c r="S128" s="64">
        <f t="shared" si="71"/>
        <v>38</v>
      </c>
      <c r="T128" s="3">
        <f t="shared" si="63"/>
        <v>40</v>
      </c>
      <c r="U128" s="63" t="str">
        <f t="shared" si="62"/>
        <v>A</v>
      </c>
      <c r="V128" s="63" t="str">
        <f t="shared" si="64"/>
        <v>A</v>
      </c>
      <c r="W128" s="84" t="str">
        <f t="shared" si="65"/>
        <v>Mensal</v>
      </c>
      <c r="X128" s="3">
        <f t="shared" si="53"/>
        <v>1</v>
      </c>
      <c r="Y128" s="3">
        <f t="shared" si="72"/>
        <v>1</v>
      </c>
      <c r="Z128" s="3">
        <f t="shared" si="73"/>
        <v>1</v>
      </c>
      <c r="AA128" s="3">
        <f t="shared" si="74"/>
        <v>38</v>
      </c>
      <c r="AJ128" s="5">
        <v>120</v>
      </c>
      <c r="AK128" s="130">
        <v>4.0000000000000002E-4</v>
      </c>
    </row>
    <row r="129" spans="1:37" x14ac:dyDescent="0.2">
      <c r="A129" s="76" t="str">
        <f t="shared" si="75"/>
        <v>2030</v>
      </c>
      <c r="B129" s="76" t="str">
        <f t="shared" si="76"/>
        <v>04/2030</v>
      </c>
      <c r="C129" s="55">
        <f t="shared" si="66"/>
        <v>46126</v>
      </c>
      <c r="D129" s="56">
        <f>WORKDAY((F129+14)-1,1,Feriados!$B$3:$B$626)</f>
        <v>46126</v>
      </c>
      <c r="E129" s="56">
        <f t="shared" si="61"/>
        <v>46095</v>
      </c>
      <c r="F129" s="56">
        <f t="shared" si="77"/>
        <v>46112</v>
      </c>
      <c r="G129" s="57">
        <f>VLOOKUP(F129,'Série IPCA'!$K$10:$L$997,2,FALSE)</f>
        <v>0.33141025616514508</v>
      </c>
      <c r="H129" s="58">
        <f>NETWORKDAYS(IF(C128="",D128,C128),D129,Feriados!$B$3:$B$626)-1</f>
        <v>21</v>
      </c>
      <c r="I129" s="58">
        <f>NETWORKDAYS(E129,D129,Feriados!$B$3:$B$626)-1</f>
        <v>21</v>
      </c>
      <c r="J129" s="62">
        <f t="shared" si="78"/>
        <v>1.0033141025616514</v>
      </c>
      <c r="K129" s="62">
        <f t="shared" si="67"/>
        <v>1.0015123566425381</v>
      </c>
      <c r="L129" s="62">
        <f t="shared" si="68"/>
        <v>1.0011757009600362</v>
      </c>
      <c r="M129" s="62">
        <f t="shared" si="69"/>
        <v>1.0032737397821989</v>
      </c>
      <c r="N129" s="62">
        <f t="shared" si="57"/>
        <v>1.0093062769317793</v>
      </c>
      <c r="O129" s="59">
        <f t="shared" si="70"/>
        <v>0</v>
      </c>
      <c r="P129" s="59">
        <f t="shared" si="58"/>
        <v>0</v>
      </c>
      <c r="Q129" s="59">
        <f t="shared" si="59"/>
        <v>0</v>
      </c>
      <c r="R129" s="60">
        <f t="shared" si="60"/>
        <v>6.3664629124104977E-10</v>
      </c>
      <c r="S129" s="64">
        <f t="shared" si="71"/>
        <v>37</v>
      </c>
      <c r="T129" s="3">
        <f t="shared" si="63"/>
        <v>39</v>
      </c>
      <c r="U129" s="63" t="str">
        <f t="shared" si="62"/>
        <v>A</v>
      </c>
      <c r="V129" s="63" t="str">
        <f t="shared" si="64"/>
        <v>A</v>
      </c>
      <c r="W129" s="84" t="str">
        <f t="shared" si="65"/>
        <v>Mensal</v>
      </c>
      <c r="X129" s="3">
        <f t="shared" si="53"/>
        <v>1</v>
      </c>
      <c r="Y129" s="3">
        <f t="shared" si="72"/>
        <v>1</v>
      </c>
      <c r="Z129" s="3">
        <f t="shared" si="73"/>
        <v>1</v>
      </c>
      <c r="AA129" s="3">
        <f t="shared" si="74"/>
        <v>37</v>
      </c>
      <c r="AJ129" s="5">
        <v>121</v>
      </c>
      <c r="AK129" s="130">
        <v>4.0000000000000002E-4</v>
      </c>
    </row>
    <row r="130" spans="1:37" x14ac:dyDescent="0.2">
      <c r="A130" s="76" t="str">
        <f t="shared" ref="A130:A153" si="79">CONCATENATE(TEXT(YEAR(D130),"0000"))</f>
        <v>2030</v>
      </c>
      <c r="B130" s="76" t="str">
        <f t="shared" ref="B130:B153" si="80">CONCATENATE((TEXT(MONTH(D130),"00")),"/",(TEXT(YEAR(D130),"0000")))</f>
        <v>05/2030</v>
      </c>
      <c r="C130" s="55">
        <f t="shared" si="66"/>
        <v>46156</v>
      </c>
      <c r="D130" s="56">
        <f>WORKDAY((F130+14)-1,1,Feriados!$B$3:$B$626)</f>
        <v>46156</v>
      </c>
      <c r="E130" s="56">
        <f t="shared" si="61"/>
        <v>46126</v>
      </c>
      <c r="F130" s="56">
        <f t="shared" ref="F130:F151" si="81">EOMONTH(E130,0)+1</f>
        <v>46142</v>
      </c>
      <c r="G130" s="57">
        <f>VLOOKUP(F130,'Série IPCA'!$K$10:$L$997,2,FALSE)</f>
        <v>0.33141025632436499</v>
      </c>
      <c r="H130" s="58">
        <f>NETWORKDAYS(IF(C129="",D129,C129),D130,Feriados!$B$3:$B$626)-1</f>
        <v>20</v>
      </c>
      <c r="I130" s="58">
        <f>NETWORKDAYS(E130,D130,Feriados!$B$3:$B$626)-1</f>
        <v>20</v>
      </c>
      <c r="J130" s="62">
        <f t="shared" ref="J130:J151" si="82">(1+G130/100)^(H130/I130)</f>
        <v>1.0033141025632437</v>
      </c>
      <c r="K130" s="62">
        <f t="shared" si="67"/>
        <v>1.0014402878224715</v>
      </c>
      <c r="L130" s="62">
        <f t="shared" si="68"/>
        <v>1.0011196838688423</v>
      </c>
      <c r="M130" s="62">
        <f t="shared" si="69"/>
        <v>1.0031176046646693</v>
      </c>
      <c r="N130" s="62">
        <f t="shared" si="57"/>
        <v>1.0090201254749585</v>
      </c>
      <c r="O130" s="59">
        <f t="shared" si="70"/>
        <v>0</v>
      </c>
      <c r="P130" s="59">
        <f t="shared" si="58"/>
        <v>0</v>
      </c>
      <c r="Q130" s="59">
        <f t="shared" si="59"/>
        <v>0</v>
      </c>
      <c r="R130" s="60">
        <f t="shared" si="60"/>
        <v>6.3664629124104977E-10</v>
      </c>
      <c r="S130" s="64">
        <f t="shared" si="71"/>
        <v>36</v>
      </c>
      <c r="T130" s="3">
        <f t="shared" si="63"/>
        <v>38</v>
      </c>
      <c r="U130" s="63" t="str">
        <f t="shared" si="62"/>
        <v>A</v>
      </c>
      <c r="V130" s="63" t="str">
        <f t="shared" si="64"/>
        <v>A</v>
      </c>
      <c r="W130" s="84" t="str">
        <f t="shared" si="65"/>
        <v>Mensal</v>
      </c>
      <c r="X130" s="3">
        <f t="shared" si="53"/>
        <v>1</v>
      </c>
      <c r="Y130" s="3">
        <f t="shared" si="72"/>
        <v>1</v>
      </c>
      <c r="Z130" s="3">
        <f t="shared" si="73"/>
        <v>1</v>
      </c>
      <c r="AA130" s="3">
        <f t="shared" si="74"/>
        <v>36</v>
      </c>
      <c r="AJ130" s="5">
        <v>122</v>
      </c>
      <c r="AK130" s="130">
        <v>4.0000000000000002E-4</v>
      </c>
    </row>
    <row r="131" spans="1:37" x14ac:dyDescent="0.2">
      <c r="A131" s="76" t="str">
        <f t="shared" si="79"/>
        <v>2030</v>
      </c>
      <c r="B131" s="76" t="str">
        <f t="shared" si="80"/>
        <v>06/2030</v>
      </c>
      <c r="C131" s="55">
        <f t="shared" si="66"/>
        <v>46189</v>
      </c>
      <c r="D131" s="56">
        <f>WORKDAY((F131+14)-1,1,Feriados!$B$3:$B$626)</f>
        <v>46189</v>
      </c>
      <c r="E131" s="56">
        <f t="shared" si="61"/>
        <v>46156</v>
      </c>
      <c r="F131" s="56">
        <f t="shared" si="81"/>
        <v>46173</v>
      </c>
      <c r="G131" s="57">
        <f>VLOOKUP(F131,'Série IPCA'!$K$10:$L$997,2,FALSE)</f>
        <v>0.331410256465338</v>
      </c>
      <c r="H131" s="58">
        <f>NETWORKDAYS(IF(C130="",D130,C130),D131,Feriados!$B$3:$B$626)-1</f>
        <v>23</v>
      </c>
      <c r="I131" s="58">
        <f>NETWORKDAYS(E131,D131,Feriados!$B$3:$B$626)-1</f>
        <v>23</v>
      </c>
      <c r="J131" s="62">
        <f t="shared" si="82"/>
        <v>1.0033141025646535</v>
      </c>
      <c r="K131" s="62">
        <f t="shared" si="67"/>
        <v>1.0016565098423793</v>
      </c>
      <c r="L131" s="62">
        <f t="shared" si="68"/>
        <v>1.0012877445458146</v>
      </c>
      <c r="M131" s="62">
        <f t="shared" si="69"/>
        <v>1.0035860829282697</v>
      </c>
      <c r="N131" s="62">
        <f t="shared" si="57"/>
        <v>1.0098788233266629</v>
      </c>
      <c r="O131" s="59">
        <f t="shared" si="70"/>
        <v>0</v>
      </c>
      <c r="P131" s="59">
        <f t="shared" si="58"/>
        <v>0</v>
      </c>
      <c r="Q131" s="59">
        <f t="shared" si="59"/>
        <v>0</v>
      </c>
      <c r="R131" s="60">
        <f t="shared" si="60"/>
        <v>6.3664629124104977E-10</v>
      </c>
      <c r="S131" s="64">
        <f t="shared" si="71"/>
        <v>35</v>
      </c>
      <c r="T131" s="3">
        <f t="shared" ref="T131:T153" si="83">IF($T$9-1=1,$N$3,IF(T130-1&lt;0,$N$3,T130-1))</f>
        <v>37</v>
      </c>
      <c r="U131" s="63" t="str">
        <f t="shared" si="62"/>
        <v>A</v>
      </c>
      <c r="V131" s="63" t="str">
        <f t="shared" si="64"/>
        <v>A</v>
      </c>
      <c r="W131" s="84" t="str">
        <f t="shared" si="65"/>
        <v>Mensal</v>
      </c>
      <c r="X131" s="3">
        <f t="shared" si="53"/>
        <v>1</v>
      </c>
      <c r="Y131" s="3">
        <f t="shared" si="72"/>
        <v>1</v>
      </c>
      <c r="Z131" s="3">
        <f t="shared" si="73"/>
        <v>1</v>
      </c>
      <c r="AA131" s="3">
        <f t="shared" si="74"/>
        <v>35</v>
      </c>
      <c r="AJ131" s="5">
        <v>123</v>
      </c>
      <c r="AK131" s="130">
        <v>4.0000000000000002E-4</v>
      </c>
    </row>
    <row r="132" spans="1:37" x14ac:dyDescent="0.2">
      <c r="A132" s="76" t="str">
        <f t="shared" si="79"/>
        <v>2030</v>
      </c>
      <c r="B132" s="76" t="str">
        <f t="shared" si="80"/>
        <v>07/2030</v>
      </c>
      <c r="C132" s="55">
        <f t="shared" si="66"/>
        <v>46217</v>
      </c>
      <c r="D132" s="56">
        <f>WORKDAY((F132+14)-1,1,Feriados!$B$3:$B$626)</f>
        <v>46217</v>
      </c>
      <c r="E132" s="56">
        <f t="shared" si="61"/>
        <v>46187</v>
      </c>
      <c r="F132" s="56">
        <f t="shared" si="81"/>
        <v>46203</v>
      </c>
      <c r="G132" s="57">
        <f>VLOOKUP(F132,'Série IPCA'!$K$10:$L$997,2,FALSE)</f>
        <v>0.3314102565483138</v>
      </c>
      <c r="H132" s="58">
        <f>NETWORKDAYS(IF(C131="",D131,C131),D132,Feriados!$B$3:$B$626)-1</f>
        <v>19</v>
      </c>
      <c r="I132" s="58">
        <f>NETWORKDAYS(E132,D132,Feriados!$B$3:$B$626)-1</f>
        <v>19</v>
      </c>
      <c r="J132" s="62">
        <f t="shared" si="82"/>
        <v>1.003314102565483</v>
      </c>
      <c r="K132" s="62">
        <f t="shared" si="67"/>
        <v>1.0013682241884765</v>
      </c>
      <c r="L132" s="62">
        <f t="shared" si="68"/>
        <v>1.0010636699118778</v>
      </c>
      <c r="M132" s="62">
        <f t="shared" si="69"/>
        <v>1.0029614938457672</v>
      </c>
      <c r="N132" s="62">
        <f t="shared" si="57"/>
        <v>1.0087340551464479</v>
      </c>
      <c r="O132" s="59">
        <f t="shared" si="70"/>
        <v>0</v>
      </c>
      <c r="P132" s="59">
        <f t="shared" si="58"/>
        <v>0</v>
      </c>
      <c r="Q132" s="59">
        <f t="shared" si="59"/>
        <v>0</v>
      </c>
      <c r="R132" s="60">
        <f t="shared" si="60"/>
        <v>6.3664629124104977E-10</v>
      </c>
      <c r="S132" s="64">
        <f t="shared" si="71"/>
        <v>34</v>
      </c>
      <c r="T132" s="3">
        <f t="shared" si="83"/>
        <v>36</v>
      </c>
      <c r="U132" s="63" t="str">
        <f t="shared" si="62"/>
        <v>A</v>
      </c>
      <c r="V132" s="63" t="str">
        <f t="shared" si="64"/>
        <v>A</v>
      </c>
      <c r="W132" s="84" t="str">
        <f t="shared" si="65"/>
        <v>Mensal</v>
      </c>
      <c r="X132" s="3">
        <f t="shared" si="53"/>
        <v>1</v>
      </c>
      <c r="Y132" s="3">
        <f t="shared" si="72"/>
        <v>1</v>
      </c>
      <c r="Z132" s="3">
        <f t="shared" si="73"/>
        <v>1</v>
      </c>
      <c r="AA132" s="3">
        <f t="shared" si="74"/>
        <v>34</v>
      </c>
      <c r="AJ132" s="5">
        <v>124</v>
      </c>
      <c r="AK132" s="130">
        <v>4.0000000000000002E-4</v>
      </c>
    </row>
    <row r="133" spans="1:37" x14ac:dyDescent="0.2">
      <c r="A133" s="76" t="str">
        <f t="shared" si="79"/>
        <v>2030</v>
      </c>
      <c r="B133" s="76" t="str">
        <f t="shared" si="80"/>
        <v>08/2030</v>
      </c>
      <c r="C133" s="55">
        <f t="shared" si="66"/>
        <v>46248</v>
      </c>
      <c r="D133" s="56">
        <f>WORKDAY((F133+14)-1,1,Feriados!$B$3:$B$626)</f>
        <v>46248</v>
      </c>
      <c r="E133" s="56">
        <f t="shared" si="61"/>
        <v>46217</v>
      </c>
      <c r="F133" s="56">
        <f t="shared" si="81"/>
        <v>46234</v>
      </c>
      <c r="G133" s="57">
        <f>VLOOKUP(F133,'Série IPCA'!$K$10:$L$997,2,FALSE)</f>
        <v>0.33141025656394579</v>
      </c>
      <c r="H133" s="58">
        <f>NETWORKDAYS(IF(C132="",D132,C132),D133,Feriados!$B$3:$B$626)-1</f>
        <v>23</v>
      </c>
      <c r="I133" s="58">
        <f>NETWORKDAYS(E133,D133,Feriados!$B$3:$B$626)-1</f>
        <v>23</v>
      </c>
      <c r="J133" s="62">
        <f t="shared" si="82"/>
        <v>1.0033141025656394</v>
      </c>
      <c r="K133" s="62">
        <f t="shared" si="67"/>
        <v>1.0016565098423793</v>
      </c>
      <c r="L133" s="62">
        <f t="shared" si="68"/>
        <v>1.0012877445458146</v>
      </c>
      <c r="M133" s="62">
        <f t="shared" si="69"/>
        <v>1.0035860829282697</v>
      </c>
      <c r="N133" s="62">
        <f t="shared" si="57"/>
        <v>1.0098788233276554</v>
      </c>
      <c r="O133" s="59">
        <f t="shared" si="70"/>
        <v>0</v>
      </c>
      <c r="P133" s="59">
        <f t="shared" si="58"/>
        <v>0</v>
      </c>
      <c r="Q133" s="59">
        <f t="shared" si="59"/>
        <v>0</v>
      </c>
      <c r="R133" s="60">
        <f t="shared" si="60"/>
        <v>6.3664629124104977E-10</v>
      </c>
      <c r="S133" s="64">
        <f t="shared" si="71"/>
        <v>33</v>
      </c>
      <c r="T133" s="3">
        <f t="shared" si="83"/>
        <v>35</v>
      </c>
      <c r="U133" s="63" t="str">
        <f t="shared" si="62"/>
        <v>A</v>
      </c>
      <c r="V133" s="63" t="str">
        <f t="shared" si="64"/>
        <v>A</v>
      </c>
      <c r="W133" s="84" t="str">
        <f t="shared" si="65"/>
        <v>Mensal</v>
      </c>
      <c r="X133" s="3">
        <f t="shared" si="53"/>
        <v>1</v>
      </c>
      <c r="Y133" s="3">
        <f t="shared" si="72"/>
        <v>1</v>
      </c>
      <c r="Z133" s="3">
        <f t="shared" si="73"/>
        <v>1</v>
      </c>
      <c r="AA133" s="3">
        <f t="shared" si="74"/>
        <v>33</v>
      </c>
      <c r="AJ133" s="5">
        <v>125</v>
      </c>
      <c r="AK133" s="130">
        <v>4.0000000000000002E-4</v>
      </c>
    </row>
    <row r="134" spans="1:37" x14ac:dyDescent="0.2">
      <c r="A134" s="76" t="str">
        <f t="shared" si="79"/>
        <v>2030</v>
      </c>
      <c r="B134" s="76" t="str">
        <f t="shared" si="80"/>
        <v>09/2030</v>
      </c>
      <c r="C134" s="55">
        <f t="shared" si="66"/>
        <v>46280</v>
      </c>
      <c r="D134" s="56">
        <f>WORKDAY((F134+14)-1,1,Feriados!$B$3:$B$626)</f>
        <v>46280</v>
      </c>
      <c r="E134" s="56">
        <f t="shared" si="61"/>
        <v>46248</v>
      </c>
      <c r="F134" s="56">
        <f t="shared" si="81"/>
        <v>46265</v>
      </c>
      <c r="G134" s="57">
        <f>VLOOKUP(F134,'Série IPCA'!$K$10:$L$997,2,FALSE)</f>
        <v>0.33141025652670209</v>
      </c>
      <c r="H134" s="58">
        <f>NETWORKDAYS(IF(C133="",D133,C133),D134,Feriados!$B$3:$B$626)-1</f>
        <v>22</v>
      </c>
      <c r="I134" s="58">
        <f>NETWORKDAYS(E134,D134,Feriados!$B$3:$B$626)-1</f>
        <v>22</v>
      </c>
      <c r="J134" s="62">
        <f t="shared" si="82"/>
        <v>1.003314102565267</v>
      </c>
      <c r="K134" s="62">
        <f t="shared" si="67"/>
        <v>1.0015844306490498</v>
      </c>
      <c r="L134" s="62">
        <f t="shared" si="68"/>
        <v>1.0012317211856352</v>
      </c>
      <c r="M134" s="62">
        <f t="shared" si="69"/>
        <v>1.0034298992021382</v>
      </c>
      <c r="N134" s="62">
        <f t="shared" si="57"/>
        <v>1.0095925095445077</v>
      </c>
      <c r="O134" s="59">
        <f t="shared" si="70"/>
        <v>0</v>
      </c>
      <c r="P134" s="59">
        <f t="shared" si="58"/>
        <v>0</v>
      </c>
      <c r="Q134" s="59">
        <f t="shared" si="59"/>
        <v>0</v>
      </c>
      <c r="R134" s="60">
        <f t="shared" si="60"/>
        <v>6.3664629124104977E-10</v>
      </c>
      <c r="S134" s="64">
        <f t="shared" si="71"/>
        <v>32</v>
      </c>
      <c r="T134" s="3">
        <f t="shared" si="83"/>
        <v>34</v>
      </c>
      <c r="U134" s="63" t="str">
        <f t="shared" si="62"/>
        <v>A</v>
      </c>
      <c r="V134" s="63" t="str">
        <f t="shared" si="64"/>
        <v>A</v>
      </c>
      <c r="W134" s="84" t="str">
        <f t="shared" si="65"/>
        <v>Mensal</v>
      </c>
      <c r="X134" s="3">
        <f t="shared" si="53"/>
        <v>1</v>
      </c>
      <c r="Y134" s="3">
        <f t="shared" si="72"/>
        <v>1</v>
      </c>
      <c r="Z134" s="3">
        <f t="shared" si="73"/>
        <v>1</v>
      </c>
      <c r="AA134" s="3">
        <f t="shared" si="74"/>
        <v>32</v>
      </c>
      <c r="AJ134" s="5">
        <v>126</v>
      </c>
      <c r="AK134" s="130">
        <v>4.0000000000000002E-4</v>
      </c>
    </row>
    <row r="135" spans="1:37" x14ac:dyDescent="0.2">
      <c r="A135" s="76" t="str">
        <f t="shared" si="79"/>
        <v>2030</v>
      </c>
      <c r="B135" s="76" t="str">
        <f t="shared" si="80"/>
        <v>10/2030</v>
      </c>
      <c r="C135" s="55">
        <f t="shared" si="66"/>
        <v>46309</v>
      </c>
      <c r="D135" s="56">
        <f>WORKDAY((F135+14)-1,1,Feriados!$B$3:$B$626)</f>
        <v>46309</v>
      </c>
      <c r="E135" s="56">
        <f t="shared" si="61"/>
        <v>46279</v>
      </c>
      <c r="F135" s="56">
        <f t="shared" si="81"/>
        <v>46295</v>
      </c>
      <c r="G135" s="57">
        <f>VLOOKUP(F135,'Série IPCA'!$K$10:$L$997,2,FALSE)</f>
        <v>0.33141025646328021</v>
      </c>
      <c r="H135" s="58">
        <f>NETWORKDAYS(IF(C134="",D134,C134),D135,Feriados!$B$3:$B$626)-1</f>
        <v>21</v>
      </c>
      <c r="I135" s="58">
        <f>NETWORKDAYS(E135,D135,Feriados!$B$3:$B$626)-1</f>
        <v>21</v>
      </c>
      <c r="J135" s="62">
        <f t="shared" si="82"/>
        <v>1.0033141025646328</v>
      </c>
      <c r="K135" s="62">
        <f t="shared" si="67"/>
        <v>1.0015123566425381</v>
      </c>
      <c r="L135" s="62">
        <f t="shared" si="68"/>
        <v>1.0011757009600362</v>
      </c>
      <c r="M135" s="62">
        <f t="shared" si="69"/>
        <v>1.0032737397821989</v>
      </c>
      <c r="N135" s="62">
        <f t="shared" si="57"/>
        <v>1.0093062769347785</v>
      </c>
      <c r="O135" s="59">
        <f t="shared" si="70"/>
        <v>0</v>
      </c>
      <c r="P135" s="59">
        <f t="shared" si="58"/>
        <v>0</v>
      </c>
      <c r="Q135" s="59">
        <f t="shared" si="59"/>
        <v>0</v>
      </c>
      <c r="R135" s="60">
        <f t="shared" si="60"/>
        <v>6.3664629124104977E-10</v>
      </c>
      <c r="S135" s="64">
        <f t="shared" si="71"/>
        <v>31</v>
      </c>
      <c r="T135" s="3">
        <f t="shared" si="83"/>
        <v>33</v>
      </c>
      <c r="U135" s="63" t="str">
        <f t="shared" si="62"/>
        <v>A</v>
      </c>
      <c r="V135" s="63" t="str">
        <f t="shared" si="64"/>
        <v>A</v>
      </c>
      <c r="W135" s="84" t="str">
        <f t="shared" si="65"/>
        <v>Mensal</v>
      </c>
      <c r="X135" s="3">
        <f t="shared" si="53"/>
        <v>1</v>
      </c>
      <c r="Y135" s="3">
        <f t="shared" si="72"/>
        <v>1</v>
      </c>
      <c r="Z135" s="3">
        <f t="shared" si="73"/>
        <v>1</v>
      </c>
      <c r="AA135" s="3">
        <f t="shared" si="74"/>
        <v>31</v>
      </c>
      <c r="AJ135" s="5">
        <v>127</v>
      </c>
      <c r="AK135" s="130">
        <v>4.0000000000000002E-4</v>
      </c>
    </row>
    <row r="136" spans="1:37" x14ac:dyDescent="0.2">
      <c r="A136" s="76" t="str">
        <f t="shared" si="79"/>
        <v>2030</v>
      </c>
      <c r="B136" s="76" t="str">
        <f t="shared" si="80"/>
        <v>11/2030</v>
      </c>
      <c r="C136" s="55">
        <f t="shared" si="66"/>
        <v>46343</v>
      </c>
      <c r="D136" s="56">
        <f>WORKDAY((F136+14)-1,1,Feriados!$B$3:$B$626)</f>
        <v>46343</v>
      </c>
      <c r="E136" s="56">
        <f t="shared" si="61"/>
        <v>46309</v>
      </c>
      <c r="F136" s="56">
        <f t="shared" si="81"/>
        <v>46326</v>
      </c>
      <c r="G136" s="57">
        <f>VLOOKUP(F136,'Série IPCA'!$K$10:$L$997,2,FALSE)</f>
        <v>0.33141025640095134</v>
      </c>
      <c r="H136" s="58">
        <f>NETWORKDAYS(IF(C135="",D135,C135),D136,Feriados!$B$3:$B$626)-1</f>
        <v>23</v>
      </c>
      <c r="I136" s="58">
        <f>NETWORKDAYS(E136,D136,Feriados!$B$3:$B$626)-1</f>
        <v>23</v>
      </c>
      <c r="J136" s="62">
        <f t="shared" si="82"/>
        <v>1.0033141025640095</v>
      </c>
      <c r="K136" s="62">
        <f t="shared" si="67"/>
        <v>1.0016565098423793</v>
      </c>
      <c r="L136" s="62">
        <f t="shared" si="68"/>
        <v>1.0012877445458146</v>
      </c>
      <c r="M136" s="62">
        <f t="shared" si="69"/>
        <v>1.0035860829282697</v>
      </c>
      <c r="N136" s="62">
        <f t="shared" si="57"/>
        <v>1.0098788233260152</v>
      </c>
      <c r="O136" s="59">
        <f t="shared" si="70"/>
        <v>0</v>
      </c>
      <c r="P136" s="59">
        <f t="shared" si="58"/>
        <v>0</v>
      </c>
      <c r="Q136" s="59">
        <f t="shared" si="59"/>
        <v>0</v>
      </c>
      <c r="R136" s="60">
        <f t="shared" si="60"/>
        <v>6.3664629124104977E-10</v>
      </c>
      <c r="S136" s="64">
        <f t="shared" si="71"/>
        <v>30</v>
      </c>
      <c r="T136" s="3">
        <f t="shared" si="83"/>
        <v>32</v>
      </c>
      <c r="U136" s="63" t="str">
        <f t="shared" si="62"/>
        <v>A</v>
      </c>
      <c r="V136" s="63" t="str">
        <f t="shared" si="64"/>
        <v>A</v>
      </c>
      <c r="W136" s="84" t="str">
        <f t="shared" si="65"/>
        <v>Mensal</v>
      </c>
      <c r="X136" s="3">
        <f t="shared" si="53"/>
        <v>1</v>
      </c>
      <c r="Y136" s="3">
        <f t="shared" si="72"/>
        <v>1</v>
      </c>
      <c r="Z136" s="3">
        <f t="shared" si="73"/>
        <v>1</v>
      </c>
      <c r="AA136" s="3">
        <f t="shared" si="74"/>
        <v>30</v>
      </c>
      <c r="AJ136" s="5">
        <v>128</v>
      </c>
      <c r="AK136" s="130">
        <v>4.0000000000000002E-4</v>
      </c>
    </row>
    <row r="137" spans="1:37" x14ac:dyDescent="0.2">
      <c r="A137" s="76" t="str">
        <f t="shared" si="79"/>
        <v>2030</v>
      </c>
      <c r="B137" s="76" t="str">
        <f t="shared" si="80"/>
        <v>12/2030</v>
      </c>
      <c r="C137" s="55">
        <f t="shared" si="66"/>
        <v>46371</v>
      </c>
      <c r="D137" s="56">
        <f>WORKDAY((F137+14)-1,1,Feriados!$B$3:$B$626)</f>
        <v>46371</v>
      </c>
      <c r="E137" s="56">
        <f t="shared" si="61"/>
        <v>46340</v>
      </c>
      <c r="F137" s="56">
        <f t="shared" si="81"/>
        <v>46356</v>
      </c>
      <c r="G137" s="57">
        <f>VLOOKUP(F137,'Série IPCA'!$K$10:$L$997,2,FALSE)</f>
        <v>0.33141025635903304</v>
      </c>
      <c r="H137" s="58">
        <f>NETWORKDAYS(IF(C136="",D136,C136),D137,Feriados!$B$3:$B$626)-1</f>
        <v>20</v>
      </c>
      <c r="I137" s="58">
        <f>NETWORKDAYS(E137,D137,Feriados!$B$3:$B$626)-1</f>
        <v>20</v>
      </c>
      <c r="J137" s="62">
        <f t="shared" si="82"/>
        <v>1.0033141025635903</v>
      </c>
      <c r="K137" s="62">
        <f t="shared" si="67"/>
        <v>1.0014402878224715</v>
      </c>
      <c r="L137" s="62">
        <f t="shared" si="68"/>
        <v>1.0011196838688423</v>
      </c>
      <c r="M137" s="62">
        <f t="shared" si="69"/>
        <v>1.0031176046646693</v>
      </c>
      <c r="N137" s="62">
        <f t="shared" si="57"/>
        <v>1.0090201254753068</v>
      </c>
      <c r="O137" s="59">
        <f t="shared" si="70"/>
        <v>0</v>
      </c>
      <c r="P137" s="59">
        <f t="shared" si="58"/>
        <v>0</v>
      </c>
      <c r="Q137" s="59">
        <f t="shared" si="59"/>
        <v>0</v>
      </c>
      <c r="R137" s="60">
        <f t="shared" si="60"/>
        <v>6.3664629124104977E-10</v>
      </c>
      <c r="S137" s="64">
        <f t="shared" si="71"/>
        <v>29</v>
      </c>
      <c r="T137" s="3">
        <f t="shared" si="83"/>
        <v>31</v>
      </c>
      <c r="U137" s="63" t="str">
        <f t="shared" si="62"/>
        <v>A</v>
      </c>
      <c r="V137" s="63" t="str">
        <f t="shared" ref="V137:V153" si="84">IF(U137="A","A",IF($J$3="E","E",IF($J$3="C","C",0)))</f>
        <v>A</v>
      </c>
      <c r="W137" s="84" t="str">
        <f t="shared" ref="W137:W153" si="85">IF(U137="C",$K$4,IF(U137="A",$M$4,""))</f>
        <v>Mensal</v>
      </c>
      <c r="X137" s="3">
        <f t="shared" si="53"/>
        <v>1</v>
      </c>
      <c r="Y137" s="3">
        <f t="shared" si="72"/>
        <v>1</v>
      </c>
      <c r="Z137" s="3">
        <f t="shared" si="73"/>
        <v>1</v>
      </c>
      <c r="AA137" s="3">
        <f t="shared" si="74"/>
        <v>29</v>
      </c>
      <c r="AJ137" s="5">
        <v>129</v>
      </c>
      <c r="AK137" s="130">
        <v>4.0000000000000002E-4</v>
      </c>
    </row>
    <row r="138" spans="1:37" x14ac:dyDescent="0.2">
      <c r="A138" s="76" t="str">
        <f t="shared" si="79"/>
        <v>2031</v>
      </c>
      <c r="B138" s="76" t="str">
        <f t="shared" si="80"/>
        <v>01/2031</v>
      </c>
      <c r="C138" s="55">
        <f t="shared" ref="C138:C153" si="86">IF(S138="","",D138)</f>
        <v>46401</v>
      </c>
      <c r="D138" s="56">
        <f>WORKDAY((F138+14)-1,1,Feriados!$B$3:$B$626)</f>
        <v>46401</v>
      </c>
      <c r="E138" s="56">
        <f t="shared" si="61"/>
        <v>46370</v>
      </c>
      <c r="F138" s="56">
        <f t="shared" si="81"/>
        <v>46387</v>
      </c>
      <c r="G138" s="57" t="e">
        <f>VLOOKUP(F138,'Série IPCA'!$K$10:$L$997,2,FALSE)</f>
        <v>#N/A</v>
      </c>
      <c r="H138" s="58">
        <f>NETWORKDAYS(IF(C137="",D137,C137),D138,Feriados!$B$3:$B$626)-1</f>
        <v>20</v>
      </c>
      <c r="I138" s="58">
        <f>NETWORKDAYS(E138,D138,Feriados!$B$3:$B$626)-1</f>
        <v>20</v>
      </c>
      <c r="J138" s="62" t="e">
        <f t="shared" si="82"/>
        <v>#N/A</v>
      </c>
      <c r="K138" s="62">
        <f t="shared" ref="K138:K153" si="87">(1+$G$3/100)^(H138/252)</f>
        <v>1.0014402878224715</v>
      </c>
      <c r="L138" s="62">
        <f t="shared" ref="L138:L153" si="88">(1+$H$3/100)^(H138/252)</f>
        <v>1.0011196838688423</v>
      </c>
      <c r="M138" s="62">
        <f t="shared" ref="M138:M153" si="89">(1+$I$3/100)^(H138/252)</f>
        <v>1.0031176046646693</v>
      </c>
      <c r="N138" s="62" t="e">
        <f t="shared" si="57"/>
        <v>#N/A</v>
      </c>
      <c r="O138" s="59">
        <f t="shared" ref="O138:O153" si="90">IF(X138=Y138,IFERROR(IF(C138="",0,ROUND(R137*(N138-1),2)),0),0)</f>
        <v>0</v>
      </c>
      <c r="P138" s="59">
        <f t="shared" si="58"/>
        <v>0</v>
      </c>
      <c r="Q138" s="59">
        <f t="shared" si="59"/>
        <v>0</v>
      </c>
      <c r="R138" s="60">
        <f t="shared" si="60"/>
        <v>6.3664629124104977E-10</v>
      </c>
      <c r="S138" s="64">
        <f t="shared" ref="S138:S153" si="91">IF(Z138=0,"",IF(U138="C",AA138,IF(U138="A",AA138,"")))</f>
        <v>28</v>
      </c>
      <c r="T138" s="3">
        <f t="shared" si="83"/>
        <v>30</v>
      </c>
      <c r="U138" s="63" t="str">
        <f t="shared" si="62"/>
        <v>A</v>
      </c>
      <c r="V138" s="63" t="str">
        <f t="shared" si="84"/>
        <v>A</v>
      </c>
      <c r="W138" s="84" t="str">
        <f t="shared" si="85"/>
        <v>Mensal</v>
      </c>
      <c r="X138" s="3">
        <f t="shared" ref="X138:X153" si="92">IF(W138="MENSAL",1,IF(W138="TRIMESTRAL",3,IF(W138="SEMESTRAL",6,IF(W138="ANUAL",12,0))))</f>
        <v>1</v>
      </c>
      <c r="Y138" s="3">
        <f t="shared" ref="Y138:Y153" si="93">IF(Y137=X137,1,Y137+1)</f>
        <v>1</v>
      </c>
      <c r="Z138" s="3">
        <f t="shared" ref="Z138:Z153" si="94">IF(X138=Y138,Y138/X138,0)</f>
        <v>1</v>
      </c>
      <c r="AA138" s="3">
        <f t="shared" ref="AA138:AA153" si="95">IF((AA137-Z138)=0,$N$3,AA137-Z138)</f>
        <v>28</v>
      </c>
      <c r="AJ138" s="5">
        <v>130</v>
      </c>
      <c r="AK138" s="130">
        <v>4.0000000000000002E-4</v>
      </c>
    </row>
    <row r="139" spans="1:37" x14ac:dyDescent="0.2">
      <c r="A139" s="76" t="str">
        <f t="shared" si="79"/>
        <v>2031</v>
      </c>
      <c r="B139" s="76" t="str">
        <f t="shared" si="80"/>
        <v>02/2031</v>
      </c>
      <c r="C139" s="55">
        <f t="shared" si="86"/>
        <v>46434</v>
      </c>
      <c r="D139" s="56">
        <f>WORKDAY((F139+14)-1,1,Feriados!$B$3:$B$626)</f>
        <v>46434</v>
      </c>
      <c r="E139" s="56">
        <f t="shared" si="61"/>
        <v>46401</v>
      </c>
      <c r="F139" s="56">
        <f t="shared" si="81"/>
        <v>46418</v>
      </c>
      <c r="G139" s="57" t="e">
        <f>VLOOKUP(F139,'Série IPCA'!$K$10:$L$997,2,FALSE)</f>
        <v>#N/A</v>
      </c>
      <c r="H139" s="58">
        <f>NETWORKDAYS(IF(C138="",D138,C138),D139,Feriados!$B$3:$B$626)-1</f>
        <v>23</v>
      </c>
      <c r="I139" s="58">
        <f>NETWORKDAYS(E139,D139,Feriados!$B$3:$B$626)-1</f>
        <v>23</v>
      </c>
      <c r="J139" s="62" t="e">
        <f t="shared" si="82"/>
        <v>#N/A</v>
      </c>
      <c r="K139" s="62">
        <f t="shared" si="87"/>
        <v>1.0016565098423793</v>
      </c>
      <c r="L139" s="62">
        <f t="shared" si="88"/>
        <v>1.0012877445458146</v>
      </c>
      <c r="M139" s="62">
        <f t="shared" si="89"/>
        <v>1.0035860829282697</v>
      </c>
      <c r="N139" s="62" t="e">
        <f t="shared" ref="N139:N153" si="96">IF(C138="",N138*J139*K139*L139*M139,J139*K139*L139*M139)</f>
        <v>#N/A</v>
      </c>
      <c r="O139" s="59">
        <f t="shared" si="90"/>
        <v>0</v>
      </c>
      <c r="P139" s="59">
        <f t="shared" ref="P139:P153" si="97">IF(X139=Y139,IFERROR(IF(U139="A",ROUND(R138/S139,2),0),0),0)</f>
        <v>0</v>
      </c>
      <c r="Q139" s="59">
        <f t="shared" ref="Q139:Q153" si="98">IF(U139="A",(O139+P139),IF(V139="C",0,(O139+P139)))</f>
        <v>0</v>
      </c>
      <c r="R139" s="60">
        <f t="shared" ref="R139:R153" si="99">IF(V139="C",(R138-P139+O139),IF(V139="E",(R138+P139),IF(U139="A",(R138-P139),(R138-P139))))</f>
        <v>6.3664629124104977E-10</v>
      </c>
      <c r="S139" s="64">
        <f t="shared" si="91"/>
        <v>27</v>
      </c>
      <c r="T139" s="3">
        <f t="shared" si="83"/>
        <v>29</v>
      </c>
      <c r="U139" s="63" t="str">
        <f t="shared" si="62"/>
        <v>A</v>
      </c>
      <c r="V139" s="63" t="str">
        <f t="shared" si="84"/>
        <v>A</v>
      </c>
      <c r="W139" s="84" t="str">
        <f t="shared" si="85"/>
        <v>Mensal</v>
      </c>
      <c r="X139" s="3">
        <f t="shared" si="92"/>
        <v>1</v>
      </c>
      <c r="Y139" s="3">
        <f t="shared" si="93"/>
        <v>1</v>
      </c>
      <c r="Z139" s="3">
        <f t="shared" si="94"/>
        <v>1</v>
      </c>
      <c r="AA139" s="3">
        <f t="shared" si="95"/>
        <v>27</v>
      </c>
      <c r="AJ139" s="5">
        <v>131</v>
      </c>
      <c r="AK139" s="130">
        <v>4.0000000000000002E-4</v>
      </c>
    </row>
    <row r="140" spans="1:37" x14ac:dyDescent="0.2">
      <c r="A140" s="76" t="str">
        <f t="shared" si="79"/>
        <v>2031</v>
      </c>
      <c r="B140" s="76" t="str">
        <f t="shared" si="80"/>
        <v>03/2031</v>
      </c>
      <c r="C140" s="55">
        <f t="shared" si="86"/>
        <v>46462</v>
      </c>
      <c r="D140" s="56">
        <f>WORKDAY((F140+14)-1,1,Feriados!$B$3:$B$626)</f>
        <v>46462</v>
      </c>
      <c r="E140" s="56">
        <f t="shared" ref="E140:E153" si="100">EDATE(E139,1)</f>
        <v>46432</v>
      </c>
      <c r="F140" s="56">
        <f t="shared" si="81"/>
        <v>46446</v>
      </c>
      <c r="G140" s="57" t="e">
        <f>VLOOKUP(F140,'Série IPCA'!$K$10:$L$997,2,FALSE)</f>
        <v>#N/A</v>
      </c>
      <c r="H140" s="58">
        <f>NETWORKDAYS(IF(C139="",D139,C139),D140,Feriados!$B$3:$B$626)-1</f>
        <v>18</v>
      </c>
      <c r="I140" s="58">
        <f>NETWORKDAYS(E140,D140,Feriados!$B$3:$B$626)-1</f>
        <v>18</v>
      </c>
      <c r="J140" s="62" t="e">
        <f t="shared" si="82"/>
        <v>#N/A</v>
      </c>
      <c r="K140" s="62">
        <f t="shared" si="87"/>
        <v>1.0012961657401798</v>
      </c>
      <c r="L140" s="62">
        <f t="shared" si="88"/>
        <v>1.0010076590889676</v>
      </c>
      <c r="M140" s="62">
        <f t="shared" si="89"/>
        <v>1.0028054073217112</v>
      </c>
      <c r="N140" s="62" t="e">
        <f t="shared" si="96"/>
        <v>#N/A</v>
      </c>
      <c r="O140" s="59">
        <f t="shared" si="90"/>
        <v>0</v>
      </c>
      <c r="P140" s="59">
        <f t="shared" si="97"/>
        <v>0</v>
      </c>
      <c r="Q140" s="59">
        <f t="shared" si="98"/>
        <v>0</v>
      </c>
      <c r="R140" s="60">
        <f t="shared" si="99"/>
        <v>6.3664629124104977E-10</v>
      </c>
      <c r="S140" s="64">
        <f t="shared" si="91"/>
        <v>26</v>
      </c>
      <c r="T140" s="3">
        <f t="shared" si="83"/>
        <v>28</v>
      </c>
      <c r="U140" s="63" t="str">
        <f t="shared" si="62"/>
        <v>A</v>
      </c>
      <c r="V140" s="63" t="str">
        <f t="shared" si="84"/>
        <v>A</v>
      </c>
      <c r="W140" s="84" t="str">
        <f t="shared" si="85"/>
        <v>Mensal</v>
      </c>
      <c r="X140" s="3">
        <f t="shared" si="92"/>
        <v>1</v>
      </c>
      <c r="Y140" s="3">
        <f t="shared" si="93"/>
        <v>1</v>
      </c>
      <c r="Z140" s="3">
        <f t="shared" si="94"/>
        <v>1</v>
      </c>
      <c r="AA140" s="3">
        <f t="shared" si="95"/>
        <v>26</v>
      </c>
      <c r="AJ140" s="5">
        <v>132</v>
      </c>
      <c r="AK140" s="130">
        <v>4.0000000000000002E-4</v>
      </c>
    </row>
    <row r="141" spans="1:37" x14ac:dyDescent="0.2">
      <c r="A141" s="76" t="str">
        <f t="shared" si="79"/>
        <v>2031</v>
      </c>
      <c r="B141" s="76" t="str">
        <f t="shared" si="80"/>
        <v>04/2031</v>
      </c>
      <c r="C141" s="55">
        <f t="shared" si="86"/>
        <v>46491</v>
      </c>
      <c r="D141" s="56">
        <f>WORKDAY((F141+14)-1,1,Feriados!$B$3:$B$626)</f>
        <v>46491</v>
      </c>
      <c r="E141" s="56">
        <f t="shared" si="100"/>
        <v>46460</v>
      </c>
      <c r="F141" s="56">
        <f t="shared" si="81"/>
        <v>46477</v>
      </c>
      <c r="G141" s="57" t="e">
        <f>VLOOKUP(F141,'Série IPCA'!$K$10:$L$997,2,FALSE)</f>
        <v>#N/A</v>
      </c>
      <c r="H141" s="58">
        <f>NETWORKDAYS(IF(C140="",D140,C140),D141,Feriados!$B$3:$B$626)-1</f>
        <v>20</v>
      </c>
      <c r="I141" s="58">
        <f>NETWORKDAYS(E141,D141,Feriados!$B$3:$B$626)-1</f>
        <v>20</v>
      </c>
      <c r="J141" s="62" t="e">
        <f t="shared" si="82"/>
        <v>#N/A</v>
      </c>
      <c r="K141" s="62">
        <f t="shared" si="87"/>
        <v>1.0014402878224715</v>
      </c>
      <c r="L141" s="62">
        <f t="shared" si="88"/>
        <v>1.0011196838688423</v>
      </c>
      <c r="M141" s="62">
        <f t="shared" si="89"/>
        <v>1.0031176046646693</v>
      </c>
      <c r="N141" s="62" t="e">
        <f t="shared" si="96"/>
        <v>#N/A</v>
      </c>
      <c r="O141" s="59">
        <f t="shared" si="90"/>
        <v>0</v>
      </c>
      <c r="P141" s="59">
        <f t="shared" si="97"/>
        <v>0</v>
      </c>
      <c r="Q141" s="59">
        <f t="shared" si="98"/>
        <v>0</v>
      </c>
      <c r="R141" s="60">
        <f t="shared" si="99"/>
        <v>6.3664629124104977E-10</v>
      </c>
      <c r="S141" s="64">
        <f t="shared" si="91"/>
        <v>25</v>
      </c>
      <c r="T141" s="3">
        <f t="shared" si="83"/>
        <v>27</v>
      </c>
      <c r="U141" s="63" t="str">
        <f t="shared" si="62"/>
        <v>A</v>
      </c>
      <c r="V141" s="63" t="str">
        <f t="shared" si="84"/>
        <v>A</v>
      </c>
      <c r="W141" s="84" t="str">
        <f t="shared" si="85"/>
        <v>Mensal</v>
      </c>
      <c r="X141" s="3">
        <f t="shared" si="92"/>
        <v>1</v>
      </c>
      <c r="Y141" s="3">
        <f t="shared" si="93"/>
        <v>1</v>
      </c>
      <c r="Z141" s="3">
        <f t="shared" si="94"/>
        <v>1</v>
      </c>
      <c r="AA141" s="3">
        <f t="shared" si="95"/>
        <v>25</v>
      </c>
      <c r="AJ141" s="5">
        <v>133</v>
      </c>
      <c r="AK141" s="130">
        <v>4.0000000000000002E-4</v>
      </c>
    </row>
    <row r="142" spans="1:37" x14ac:dyDescent="0.2">
      <c r="A142" s="76" t="str">
        <f t="shared" si="79"/>
        <v>2031</v>
      </c>
      <c r="B142" s="76" t="str">
        <f t="shared" si="80"/>
        <v>05/2031</v>
      </c>
      <c r="C142" s="55">
        <f t="shared" si="86"/>
        <v>46521</v>
      </c>
      <c r="D142" s="56">
        <f>WORKDAY((F142+14)-1,1,Feriados!$B$3:$B$626)</f>
        <v>46521</v>
      </c>
      <c r="E142" s="56">
        <f t="shared" si="100"/>
        <v>46491</v>
      </c>
      <c r="F142" s="56">
        <f t="shared" si="81"/>
        <v>46507</v>
      </c>
      <c r="G142" s="57" t="e">
        <f>VLOOKUP(F142,'Série IPCA'!$K$10:$L$997,2,FALSE)</f>
        <v>#N/A</v>
      </c>
      <c r="H142" s="58">
        <f>NETWORKDAYS(IF(C141="",D141,C141),D142,Feriados!$B$3:$B$626)-1</f>
        <v>20</v>
      </c>
      <c r="I142" s="58">
        <f>NETWORKDAYS(E142,D142,Feriados!$B$3:$B$626)-1</f>
        <v>20</v>
      </c>
      <c r="J142" s="62" t="e">
        <f t="shared" si="82"/>
        <v>#N/A</v>
      </c>
      <c r="K142" s="62">
        <f t="shared" si="87"/>
        <v>1.0014402878224715</v>
      </c>
      <c r="L142" s="62">
        <f t="shared" si="88"/>
        <v>1.0011196838688423</v>
      </c>
      <c r="M142" s="62">
        <f t="shared" si="89"/>
        <v>1.0031176046646693</v>
      </c>
      <c r="N142" s="62" t="e">
        <f t="shared" si="96"/>
        <v>#N/A</v>
      </c>
      <c r="O142" s="59">
        <f t="shared" si="90"/>
        <v>0</v>
      </c>
      <c r="P142" s="59">
        <f t="shared" si="97"/>
        <v>0</v>
      </c>
      <c r="Q142" s="59">
        <f t="shared" si="98"/>
        <v>0</v>
      </c>
      <c r="R142" s="60">
        <f t="shared" si="99"/>
        <v>6.3664629124104977E-10</v>
      </c>
      <c r="S142" s="64">
        <f t="shared" si="91"/>
        <v>24</v>
      </c>
      <c r="T142" s="3">
        <f t="shared" si="83"/>
        <v>26</v>
      </c>
      <c r="U142" s="63" t="str">
        <f t="shared" si="62"/>
        <v>A</v>
      </c>
      <c r="V142" s="63" t="str">
        <f t="shared" si="84"/>
        <v>A</v>
      </c>
      <c r="W142" s="84" t="str">
        <f t="shared" si="85"/>
        <v>Mensal</v>
      </c>
      <c r="X142" s="3">
        <f t="shared" si="92"/>
        <v>1</v>
      </c>
      <c r="Y142" s="3">
        <f t="shared" si="93"/>
        <v>1</v>
      </c>
      <c r="Z142" s="3">
        <f t="shared" si="94"/>
        <v>1</v>
      </c>
      <c r="AA142" s="3">
        <f t="shared" si="95"/>
        <v>24</v>
      </c>
      <c r="AJ142" s="5">
        <v>134</v>
      </c>
      <c r="AK142" s="130">
        <v>4.0000000000000002E-4</v>
      </c>
    </row>
    <row r="143" spans="1:37" x14ac:dyDescent="0.2">
      <c r="A143" s="76" t="str">
        <f t="shared" si="79"/>
        <v>2031</v>
      </c>
      <c r="B143" s="76" t="str">
        <f t="shared" si="80"/>
        <v>06/2031</v>
      </c>
      <c r="C143" s="55">
        <f t="shared" si="86"/>
        <v>46553</v>
      </c>
      <c r="D143" s="56">
        <f>WORKDAY((F143+14)-1,1,Feriados!$B$3:$B$626)</f>
        <v>46553</v>
      </c>
      <c r="E143" s="56">
        <f t="shared" si="100"/>
        <v>46521</v>
      </c>
      <c r="F143" s="56">
        <f t="shared" si="81"/>
        <v>46538</v>
      </c>
      <c r="G143" s="57" t="e">
        <f>VLOOKUP(F143,'Série IPCA'!$K$10:$L$997,2,FALSE)</f>
        <v>#N/A</v>
      </c>
      <c r="H143" s="58">
        <f>NETWORKDAYS(IF(C142="",D142,C142),D143,Feriados!$B$3:$B$626)-1</f>
        <v>21</v>
      </c>
      <c r="I143" s="58">
        <f>NETWORKDAYS(E143,D143,Feriados!$B$3:$B$626)-1</f>
        <v>21</v>
      </c>
      <c r="J143" s="62" t="e">
        <f t="shared" si="82"/>
        <v>#N/A</v>
      </c>
      <c r="K143" s="62">
        <f t="shared" si="87"/>
        <v>1.0015123566425381</v>
      </c>
      <c r="L143" s="62">
        <f t="shared" si="88"/>
        <v>1.0011757009600362</v>
      </c>
      <c r="M143" s="62">
        <f t="shared" si="89"/>
        <v>1.0032737397821989</v>
      </c>
      <c r="N143" s="62" t="e">
        <f t="shared" si="96"/>
        <v>#N/A</v>
      </c>
      <c r="O143" s="59">
        <f t="shared" si="90"/>
        <v>0</v>
      </c>
      <c r="P143" s="59">
        <f t="shared" si="97"/>
        <v>0</v>
      </c>
      <c r="Q143" s="59">
        <f t="shared" si="98"/>
        <v>0</v>
      </c>
      <c r="R143" s="60">
        <f t="shared" si="99"/>
        <v>6.3664629124104977E-10</v>
      </c>
      <c r="S143" s="64">
        <f t="shared" si="91"/>
        <v>23</v>
      </c>
      <c r="T143" s="3">
        <f t="shared" si="83"/>
        <v>25</v>
      </c>
      <c r="U143" s="63" t="str">
        <f t="shared" si="62"/>
        <v>A</v>
      </c>
      <c r="V143" s="63" t="str">
        <f t="shared" si="84"/>
        <v>A</v>
      </c>
      <c r="W143" s="84" t="str">
        <f t="shared" si="85"/>
        <v>Mensal</v>
      </c>
      <c r="X143" s="3">
        <f t="shared" si="92"/>
        <v>1</v>
      </c>
      <c r="Y143" s="3">
        <f t="shared" si="93"/>
        <v>1</v>
      </c>
      <c r="Z143" s="3">
        <f t="shared" si="94"/>
        <v>1</v>
      </c>
      <c r="AA143" s="3">
        <f t="shared" si="95"/>
        <v>23</v>
      </c>
      <c r="AJ143" s="5">
        <v>135</v>
      </c>
      <c r="AK143" s="130">
        <v>4.0000000000000002E-4</v>
      </c>
    </row>
    <row r="144" spans="1:37" x14ac:dyDescent="0.2">
      <c r="A144" s="76" t="str">
        <f t="shared" si="79"/>
        <v>2031</v>
      </c>
      <c r="B144" s="76" t="str">
        <f t="shared" si="80"/>
        <v>07/2031</v>
      </c>
      <c r="C144" s="55">
        <f t="shared" si="86"/>
        <v>46582</v>
      </c>
      <c r="D144" s="56">
        <f>WORKDAY((F144+14)-1,1,Feriados!$B$3:$B$626)</f>
        <v>46582</v>
      </c>
      <c r="E144" s="56">
        <f t="shared" si="100"/>
        <v>46552</v>
      </c>
      <c r="F144" s="56">
        <f t="shared" si="81"/>
        <v>46568</v>
      </c>
      <c r="G144" s="57" t="e">
        <f>VLOOKUP(F144,'Série IPCA'!$K$10:$L$997,2,FALSE)</f>
        <v>#N/A</v>
      </c>
      <c r="H144" s="58">
        <f>NETWORKDAYS(IF(C143="",D143,C143),D144,Feriados!$B$3:$B$626)-1</f>
        <v>21</v>
      </c>
      <c r="I144" s="58">
        <f>NETWORKDAYS(E144,D144,Feriados!$B$3:$B$626)-1</f>
        <v>21</v>
      </c>
      <c r="J144" s="62" t="e">
        <f t="shared" si="82"/>
        <v>#N/A</v>
      </c>
      <c r="K144" s="62">
        <f t="shared" si="87"/>
        <v>1.0015123566425381</v>
      </c>
      <c r="L144" s="62">
        <f t="shared" si="88"/>
        <v>1.0011757009600362</v>
      </c>
      <c r="M144" s="62">
        <f t="shared" si="89"/>
        <v>1.0032737397821989</v>
      </c>
      <c r="N144" s="62" t="e">
        <f t="shared" si="96"/>
        <v>#N/A</v>
      </c>
      <c r="O144" s="59">
        <f t="shared" si="90"/>
        <v>0</v>
      </c>
      <c r="P144" s="59">
        <f t="shared" si="97"/>
        <v>0</v>
      </c>
      <c r="Q144" s="59">
        <f t="shared" si="98"/>
        <v>0</v>
      </c>
      <c r="R144" s="60">
        <f t="shared" si="99"/>
        <v>6.3664629124104977E-10</v>
      </c>
      <c r="S144" s="64">
        <f t="shared" si="91"/>
        <v>22</v>
      </c>
      <c r="T144" s="3">
        <f t="shared" si="83"/>
        <v>24</v>
      </c>
      <c r="U144" s="63" t="str">
        <f t="shared" si="62"/>
        <v>A</v>
      </c>
      <c r="V144" s="63" t="str">
        <f t="shared" si="84"/>
        <v>A</v>
      </c>
      <c r="W144" s="84" t="str">
        <f t="shared" si="85"/>
        <v>Mensal</v>
      </c>
      <c r="X144" s="3">
        <f t="shared" si="92"/>
        <v>1</v>
      </c>
      <c r="Y144" s="3">
        <f t="shared" si="93"/>
        <v>1</v>
      </c>
      <c r="Z144" s="3">
        <f t="shared" si="94"/>
        <v>1</v>
      </c>
      <c r="AA144" s="3">
        <f t="shared" si="95"/>
        <v>22</v>
      </c>
      <c r="AJ144" s="5">
        <v>136</v>
      </c>
      <c r="AK144" s="130">
        <v>4.0000000000000002E-4</v>
      </c>
    </row>
    <row r="145" spans="1:37" x14ac:dyDescent="0.2">
      <c r="A145" s="76" t="str">
        <f t="shared" si="79"/>
        <v>2031</v>
      </c>
      <c r="B145" s="76" t="str">
        <f t="shared" si="80"/>
        <v>08/2031</v>
      </c>
      <c r="C145" s="55">
        <f t="shared" si="86"/>
        <v>46613</v>
      </c>
      <c r="D145" s="56">
        <f>WORKDAY((F145+14)-1,1,Feriados!$B$3:$B$626)</f>
        <v>46613</v>
      </c>
      <c r="E145" s="56">
        <f t="shared" si="100"/>
        <v>46582</v>
      </c>
      <c r="F145" s="56">
        <f t="shared" si="81"/>
        <v>46599</v>
      </c>
      <c r="G145" s="57" t="e">
        <f>VLOOKUP(F145,'Série IPCA'!$K$10:$L$997,2,FALSE)</f>
        <v>#N/A</v>
      </c>
      <c r="H145" s="58">
        <f>NETWORKDAYS(IF(C144="",D144,C144),D145,Feriados!$B$3:$B$626)-1</f>
        <v>23</v>
      </c>
      <c r="I145" s="58">
        <f>NETWORKDAYS(E145,D145,Feriados!$B$3:$B$626)-1</f>
        <v>23</v>
      </c>
      <c r="J145" s="62" t="e">
        <f t="shared" si="82"/>
        <v>#N/A</v>
      </c>
      <c r="K145" s="62">
        <f t="shared" si="87"/>
        <v>1.0016565098423793</v>
      </c>
      <c r="L145" s="62">
        <f t="shared" si="88"/>
        <v>1.0012877445458146</v>
      </c>
      <c r="M145" s="62">
        <f t="shared" si="89"/>
        <v>1.0035860829282697</v>
      </c>
      <c r="N145" s="62" t="e">
        <f t="shared" si="96"/>
        <v>#N/A</v>
      </c>
      <c r="O145" s="59">
        <f t="shared" si="90"/>
        <v>0</v>
      </c>
      <c r="P145" s="59">
        <f t="shared" si="97"/>
        <v>0</v>
      </c>
      <c r="Q145" s="59">
        <f t="shared" si="98"/>
        <v>0</v>
      </c>
      <c r="R145" s="60">
        <f t="shared" si="99"/>
        <v>6.3664629124104977E-10</v>
      </c>
      <c r="S145" s="64">
        <f t="shared" si="91"/>
        <v>21</v>
      </c>
      <c r="T145" s="3">
        <f t="shared" si="83"/>
        <v>23</v>
      </c>
      <c r="U145" s="63" t="str">
        <f t="shared" si="62"/>
        <v>A</v>
      </c>
      <c r="V145" s="63" t="str">
        <f t="shared" si="84"/>
        <v>A</v>
      </c>
      <c r="W145" s="84" t="str">
        <f t="shared" si="85"/>
        <v>Mensal</v>
      </c>
      <c r="X145" s="3">
        <f t="shared" si="92"/>
        <v>1</v>
      </c>
      <c r="Y145" s="3">
        <f t="shared" si="93"/>
        <v>1</v>
      </c>
      <c r="Z145" s="3">
        <f t="shared" si="94"/>
        <v>1</v>
      </c>
      <c r="AA145" s="3">
        <f t="shared" si="95"/>
        <v>21</v>
      </c>
      <c r="AJ145" s="5">
        <v>137</v>
      </c>
      <c r="AK145" s="130">
        <v>4.0000000000000002E-4</v>
      </c>
    </row>
    <row r="146" spans="1:37" x14ac:dyDescent="0.2">
      <c r="A146" s="76" t="str">
        <f t="shared" si="79"/>
        <v>2031</v>
      </c>
      <c r="B146" s="76" t="str">
        <f t="shared" si="80"/>
        <v>09/2031</v>
      </c>
      <c r="C146" s="55">
        <f t="shared" si="86"/>
        <v>46644</v>
      </c>
      <c r="D146" s="56">
        <f>WORKDAY((F146+14)-1,1,Feriados!$B$3:$B$626)</f>
        <v>46644</v>
      </c>
      <c r="E146" s="56">
        <f t="shared" si="100"/>
        <v>46613</v>
      </c>
      <c r="F146" s="56">
        <f t="shared" si="81"/>
        <v>46630</v>
      </c>
      <c r="G146" s="57" t="e">
        <f>VLOOKUP(F146,'Série IPCA'!$K$10:$L$997,2,FALSE)</f>
        <v>#N/A</v>
      </c>
      <c r="H146" s="58">
        <f>NETWORKDAYS(IF(C145="",D145,C145),D146,Feriados!$B$3:$B$626)-1</f>
        <v>21</v>
      </c>
      <c r="I146" s="58">
        <f>NETWORKDAYS(E146,D146,Feriados!$B$3:$B$626)-1</f>
        <v>21</v>
      </c>
      <c r="J146" s="62" t="e">
        <f t="shared" si="82"/>
        <v>#N/A</v>
      </c>
      <c r="K146" s="62">
        <f t="shared" si="87"/>
        <v>1.0015123566425381</v>
      </c>
      <c r="L146" s="62">
        <f t="shared" si="88"/>
        <v>1.0011757009600362</v>
      </c>
      <c r="M146" s="62">
        <f t="shared" si="89"/>
        <v>1.0032737397821989</v>
      </c>
      <c r="N146" s="62" t="e">
        <f t="shared" si="96"/>
        <v>#N/A</v>
      </c>
      <c r="O146" s="59">
        <f t="shared" si="90"/>
        <v>0</v>
      </c>
      <c r="P146" s="59">
        <f t="shared" si="97"/>
        <v>0</v>
      </c>
      <c r="Q146" s="59">
        <f t="shared" si="98"/>
        <v>0</v>
      </c>
      <c r="R146" s="60">
        <f t="shared" si="99"/>
        <v>6.3664629124104977E-10</v>
      </c>
      <c r="S146" s="64">
        <f t="shared" si="91"/>
        <v>20</v>
      </c>
      <c r="T146" s="3">
        <f t="shared" si="83"/>
        <v>22</v>
      </c>
      <c r="U146" s="63" t="str">
        <f t="shared" si="62"/>
        <v>A</v>
      </c>
      <c r="V146" s="63" t="str">
        <f t="shared" si="84"/>
        <v>A</v>
      </c>
      <c r="W146" s="84" t="str">
        <f t="shared" si="85"/>
        <v>Mensal</v>
      </c>
      <c r="X146" s="3">
        <f t="shared" si="92"/>
        <v>1</v>
      </c>
      <c r="Y146" s="3">
        <f t="shared" si="93"/>
        <v>1</v>
      </c>
      <c r="Z146" s="3">
        <f t="shared" si="94"/>
        <v>1</v>
      </c>
      <c r="AA146" s="3">
        <f t="shared" si="95"/>
        <v>20</v>
      </c>
      <c r="AJ146" s="5">
        <v>138</v>
      </c>
      <c r="AK146" s="130">
        <v>4.0000000000000002E-4</v>
      </c>
    </row>
    <row r="147" spans="1:37" x14ac:dyDescent="0.2">
      <c r="A147" s="76" t="str">
        <f t="shared" si="79"/>
        <v>2031</v>
      </c>
      <c r="B147" s="76" t="str">
        <f t="shared" si="80"/>
        <v>10/2031</v>
      </c>
      <c r="C147" s="55">
        <f t="shared" si="86"/>
        <v>46674</v>
      </c>
      <c r="D147" s="56">
        <f>WORKDAY((F147+14)-1,1,Feriados!$B$3:$B$626)</f>
        <v>46674</v>
      </c>
      <c r="E147" s="56">
        <f t="shared" si="100"/>
        <v>46644</v>
      </c>
      <c r="F147" s="56">
        <f t="shared" si="81"/>
        <v>46660</v>
      </c>
      <c r="G147" s="57" t="e">
        <f>VLOOKUP(F147,'Série IPCA'!$K$10:$L$997,2,FALSE)</f>
        <v>#N/A</v>
      </c>
      <c r="H147" s="58">
        <f>NETWORKDAYS(IF(C146="",D146,C146),D147,Feriados!$B$3:$B$626)-1</f>
        <v>22</v>
      </c>
      <c r="I147" s="58">
        <f>NETWORKDAYS(E147,D147,Feriados!$B$3:$B$626)-1</f>
        <v>22</v>
      </c>
      <c r="J147" s="62" t="e">
        <f t="shared" si="82"/>
        <v>#N/A</v>
      </c>
      <c r="K147" s="62">
        <f t="shared" si="87"/>
        <v>1.0015844306490498</v>
      </c>
      <c r="L147" s="62">
        <f t="shared" si="88"/>
        <v>1.0012317211856352</v>
      </c>
      <c r="M147" s="62">
        <f t="shared" si="89"/>
        <v>1.0034298992021382</v>
      </c>
      <c r="N147" s="62" t="e">
        <f t="shared" si="96"/>
        <v>#N/A</v>
      </c>
      <c r="O147" s="59">
        <f t="shared" si="90"/>
        <v>0</v>
      </c>
      <c r="P147" s="59">
        <f t="shared" si="97"/>
        <v>0</v>
      </c>
      <c r="Q147" s="59">
        <f t="shared" si="98"/>
        <v>0</v>
      </c>
      <c r="R147" s="60">
        <f t="shared" si="99"/>
        <v>6.3664629124104977E-10</v>
      </c>
      <c r="S147" s="64">
        <f t="shared" si="91"/>
        <v>19</v>
      </c>
      <c r="T147" s="3">
        <f t="shared" si="83"/>
        <v>21</v>
      </c>
      <c r="U147" s="63" t="str">
        <f t="shared" si="62"/>
        <v>A</v>
      </c>
      <c r="V147" s="63" t="str">
        <f t="shared" si="84"/>
        <v>A</v>
      </c>
      <c r="W147" s="84" t="str">
        <f t="shared" si="85"/>
        <v>Mensal</v>
      </c>
      <c r="X147" s="3">
        <f t="shared" si="92"/>
        <v>1</v>
      </c>
      <c r="Y147" s="3">
        <f t="shared" si="93"/>
        <v>1</v>
      </c>
      <c r="Z147" s="3">
        <f t="shared" si="94"/>
        <v>1</v>
      </c>
      <c r="AA147" s="3">
        <f t="shared" si="95"/>
        <v>19</v>
      </c>
      <c r="AJ147" s="5">
        <v>139</v>
      </c>
      <c r="AK147" s="130">
        <v>4.0000000000000002E-4</v>
      </c>
    </row>
    <row r="148" spans="1:37" x14ac:dyDescent="0.2">
      <c r="A148" s="76" t="str">
        <f t="shared" si="79"/>
        <v>2031</v>
      </c>
      <c r="B148" s="76" t="str">
        <f t="shared" si="80"/>
        <v>11/2031</v>
      </c>
      <c r="C148" s="55">
        <f t="shared" si="86"/>
        <v>46707</v>
      </c>
      <c r="D148" s="56">
        <f>WORKDAY((F148+14)-1,1,Feriados!$B$3:$B$626)</f>
        <v>46707</v>
      </c>
      <c r="E148" s="56">
        <f t="shared" si="100"/>
        <v>46674</v>
      </c>
      <c r="F148" s="56">
        <f t="shared" si="81"/>
        <v>46691</v>
      </c>
      <c r="G148" s="57" t="e">
        <f>VLOOKUP(F148,'Série IPCA'!$K$10:$L$997,2,FALSE)</f>
        <v>#N/A</v>
      </c>
      <c r="H148" s="58">
        <f>NETWORKDAYS(IF(C147="",D147,C147),D148,Feriados!$B$3:$B$626)-1</f>
        <v>23</v>
      </c>
      <c r="I148" s="58">
        <f>NETWORKDAYS(E148,D148,Feriados!$B$3:$B$626)-1</f>
        <v>23</v>
      </c>
      <c r="J148" s="62" t="e">
        <f t="shared" si="82"/>
        <v>#N/A</v>
      </c>
      <c r="K148" s="62">
        <f t="shared" si="87"/>
        <v>1.0016565098423793</v>
      </c>
      <c r="L148" s="62">
        <f t="shared" si="88"/>
        <v>1.0012877445458146</v>
      </c>
      <c r="M148" s="62">
        <f t="shared" si="89"/>
        <v>1.0035860829282697</v>
      </c>
      <c r="N148" s="62" t="e">
        <f t="shared" si="96"/>
        <v>#N/A</v>
      </c>
      <c r="O148" s="59">
        <f t="shared" si="90"/>
        <v>0</v>
      </c>
      <c r="P148" s="59">
        <f t="shared" si="97"/>
        <v>0</v>
      </c>
      <c r="Q148" s="59">
        <f t="shared" si="98"/>
        <v>0</v>
      </c>
      <c r="R148" s="60">
        <f t="shared" si="99"/>
        <v>6.3664629124104977E-10</v>
      </c>
      <c r="S148" s="64">
        <f t="shared" si="91"/>
        <v>18</v>
      </c>
      <c r="T148" s="3">
        <f t="shared" si="83"/>
        <v>20</v>
      </c>
      <c r="U148" s="63" t="str">
        <f t="shared" si="62"/>
        <v>A</v>
      </c>
      <c r="V148" s="63" t="str">
        <f t="shared" si="84"/>
        <v>A</v>
      </c>
      <c r="W148" s="84" t="str">
        <f t="shared" si="85"/>
        <v>Mensal</v>
      </c>
      <c r="X148" s="3">
        <f t="shared" si="92"/>
        <v>1</v>
      </c>
      <c r="Y148" s="3">
        <f t="shared" si="93"/>
        <v>1</v>
      </c>
      <c r="Z148" s="3">
        <f t="shared" si="94"/>
        <v>1</v>
      </c>
      <c r="AA148" s="3">
        <f t="shared" si="95"/>
        <v>18</v>
      </c>
      <c r="AJ148" s="5">
        <v>140</v>
      </c>
      <c r="AK148" s="130">
        <v>4.0000000000000002E-4</v>
      </c>
    </row>
    <row r="149" spans="1:37" x14ac:dyDescent="0.2">
      <c r="A149" s="76" t="str">
        <f t="shared" si="79"/>
        <v>2031</v>
      </c>
      <c r="B149" s="76" t="str">
        <f t="shared" si="80"/>
        <v>12/2031</v>
      </c>
      <c r="C149" s="55">
        <f t="shared" si="86"/>
        <v>46735</v>
      </c>
      <c r="D149" s="56">
        <f>WORKDAY((F149+14)-1,1,Feriados!$B$3:$B$626)</f>
        <v>46735</v>
      </c>
      <c r="E149" s="56">
        <f t="shared" si="100"/>
        <v>46705</v>
      </c>
      <c r="F149" s="56">
        <f t="shared" si="81"/>
        <v>46721</v>
      </c>
      <c r="G149" s="57" t="e">
        <f>VLOOKUP(F149,'Série IPCA'!$K$10:$L$997,2,FALSE)</f>
        <v>#N/A</v>
      </c>
      <c r="H149" s="58">
        <f>NETWORKDAYS(IF(C148="",D148,C148),D149,Feriados!$B$3:$B$626)-1</f>
        <v>20</v>
      </c>
      <c r="I149" s="58">
        <f>NETWORKDAYS(E149,D149,Feriados!$B$3:$B$626)-1</f>
        <v>20</v>
      </c>
      <c r="J149" s="62" t="e">
        <f t="shared" si="82"/>
        <v>#N/A</v>
      </c>
      <c r="K149" s="62">
        <f t="shared" si="87"/>
        <v>1.0014402878224715</v>
      </c>
      <c r="L149" s="62">
        <f t="shared" si="88"/>
        <v>1.0011196838688423</v>
      </c>
      <c r="M149" s="62">
        <f t="shared" si="89"/>
        <v>1.0031176046646693</v>
      </c>
      <c r="N149" s="62" t="e">
        <f t="shared" si="96"/>
        <v>#N/A</v>
      </c>
      <c r="O149" s="59">
        <f t="shared" si="90"/>
        <v>0</v>
      </c>
      <c r="P149" s="59">
        <f t="shared" si="97"/>
        <v>0</v>
      </c>
      <c r="Q149" s="59">
        <f t="shared" si="98"/>
        <v>0</v>
      </c>
      <c r="R149" s="60">
        <f t="shared" si="99"/>
        <v>6.3664629124104977E-10</v>
      </c>
      <c r="S149" s="64">
        <f t="shared" si="91"/>
        <v>17</v>
      </c>
      <c r="T149" s="3">
        <f t="shared" si="83"/>
        <v>19</v>
      </c>
      <c r="U149" s="63" t="str">
        <f t="shared" si="62"/>
        <v>A</v>
      </c>
      <c r="V149" s="63" t="str">
        <f t="shared" si="84"/>
        <v>A</v>
      </c>
      <c r="W149" s="84" t="str">
        <f t="shared" si="85"/>
        <v>Mensal</v>
      </c>
      <c r="X149" s="3">
        <f t="shared" si="92"/>
        <v>1</v>
      </c>
      <c r="Y149" s="3">
        <f t="shared" si="93"/>
        <v>1</v>
      </c>
      <c r="Z149" s="3">
        <f t="shared" si="94"/>
        <v>1</v>
      </c>
      <c r="AA149" s="3">
        <f t="shared" si="95"/>
        <v>17</v>
      </c>
      <c r="AJ149" s="5">
        <v>141</v>
      </c>
      <c r="AK149" s="130">
        <v>4.0000000000000002E-4</v>
      </c>
    </row>
    <row r="150" spans="1:37" x14ac:dyDescent="0.2">
      <c r="A150" s="76" t="str">
        <f t="shared" si="79"/>
        <v>2032</v>
      </c>
      <c r="B150" s="76" t="str">
        <f t="shared" si="80"/>
        <v>01/2032</v>
      </c>
      <c r="C150" s="55">
        <f t="shared" si="86"/>
        <v>46766</v>
      </c>
      <c r="D150" s="56">
        <f>WORKDAY((F150+14)-1,1,Feriados!$B$3:$B$626)</f>
        <v>46766</v>
      </c>
      <c r="E150" s="56">
        <f t="shared" si="100"/>
        <v>46735</v>
      </c>
      <c r="F150" s="56">
        <f t="shared" si="81"/>
        <v>46752</v>
      </c>
      <c r="G150" s="57" t="e">
        <f>VLOOKUP(F150,'Série IPCA'!$K$10:$L$997,2,FALSE)</f>
        <v>#N/A</v>
      </c>
      <c r="H150" s="58">
        <f>NETWORKDAYS(IF(C149="",D149,C149),D150,Feriados!$B$3:$B$626)-1</f>
        <v>21</v>
      </c>
      <c r="I150" s="58">
        <f>NETWORKDAYS(E150,D150,Feriados!$B$3:$B$626)-1</f>
        <v>21</v>
      </c>
      <c r="J150" s="62" t="e">
        <f t="shared" si="82"/>
        <v>#N/A</v>
      </c>
      <c r="K150" s="62">
        <f t="shared" si="87"/>
        <v>1.0015123566425381</v>
      </c>
      <c r="L150" s="62">
        <f t="shared" si="88"/>
        <v>1.0011757009600362</v>
      </c>
      <c r="M150" s="62">
        <f t="shared" si="89"/>
        <v>1.0032737397821989</v>
      </c>
      <c r="N150" s="62" t="e">
        <f t="shared" si="96"/>
        <v>#N/A</v>
      </c>
      <c r="O150" s="59">
        <f t="shared" si="90"/>
        <v>0</v>
      </c>
      <c r="P150" s="59">
        <f t="shared" si="97"/>
        <v>0</v>
      </c>
      <c r="Q150" s="59">
        <f t="shared" si="98"/>
        <v>0</v>
      </c>
      <c r="R150" s="60">
        <f t="shared" si="99"/>
        <v>6.3664629124104977E-10</v>
      </c>
      <c r="S150" s="64">
        <f t="shared" si="91"/>
        <v>16</v>
      </c>
      <c r="T150" s="3">
        <f t="shared" si="83"/>
        <v>18</v>
      </c>
      <c r="U150" s="63" t="str">
        <f t="shared" si="62"/>
        <v>A</v>
      </c>
      <c r="V150" s="63" t="str">
        <f t="shared" si="84"/>
        <v>A</v>
      </c>
      <c r="W150" s="84" t="str">
        <f t="shared" si="85"/>
        <v>Mensal</v>
      </c>
      <c r="X150" s="3">
        <f t="shared" si="92"/>
        <v>1</v>
      </c>
      <c r="Y150" s="3">
        <f t="shared" si="93"/>
        <v>1</v>
      </c>
      <c r="Z150" s="3">
        <f t="shared" si="94"/>
        <v>1</v>
      </c>
      <c r="AA150" s="3">
        <f t="shared" si="95"/>
        <v>16</v>
      </c>
      <c r="AJ150" s="5">
        <v>142</v>
      </c>
      <c r="AK150" s="130">
        <v>4.0000000000000002E-4</v>
      </c>
    </row>
    <row r="151" spans="1:37" x14ac:dyDescent="0.2">
      <c r="A151" s="76" t="str">
        <f t="shared" si="79"/>
        <v>2032</v>
      </c>
      <c r="B151" s="76" t="str">
        <f t="shared" si="80"/>
        <v>02/2032</v>
      </c>
      <c r="C151" s="55">
        <f t="shared" si="86"/>
        <v>46798</v>
      </c>
      <c r="D151" s="56">
        <f>WORKDAY((F151+14)-1,1,Feriados!$B$3:$B$626)</f>
        <v>46798</v>
      </c>
      <c r="E151" s="56">
        <f t="shared" si="100"/>
        <v>46766</v>
      </c>
      <c r="F151" s="56">
        <f t="shared" si="81"/>
        <v>46783</v>
      </c>
      <c r="G151" s="57" t="e">
        <f>VLOOKUP(F151,'Série IPCA'!$K$10:$L$997,2,FALSE)</f>
        <v>#N/A</v>
      </c>
      <c r="H151" s="58">
        <f>NETWORKDAYS(IF(C150="",D150,C150),D151,Feriados!$B$3:$B$626)-1</f>
        <v>20</v>
      </c>
      <c r="I151" s="58">
        <f>NETWORKDAYS(E151,D151,Feriados!$B$3:$B$626)-1</f>
        <v>20</v>
      </c>
      <c r="J151" s="62" t="e">
        <f t="shared" si="82"/>
        <v>#N/A</v>
      </c>
      <c r="K151" s="62">
        <f t="shared" si="87"/>
        <v>1.0014402878224715</v>
      </c>
      <c r="L151" s="62">
        <f t="shared" si="88"/>
        <v>1.0011196838688423</v>
      </c>
      <c r="M151" s="62">
        <f t="shared" si="89"/>
        <v>1.0031176046646693</v>
      </c>
      <c r="N151" s="62" t="e">
        <f t="shared" si="96"/>
        <v>#N/A</v>
      </c>
      <c r="O151" s="59">
        <f t="shared" si="90"/>
        <v>0</v>
      </c>
      <c r="P151" s="59">
        <f t="shared" si="97"/>
        <v>0</v>
      </c>
      <c r="Q151" s="59">
        <f t="shared" si="98"/>
        <v>0</v>
      </c>
      <c r="R151" s="60">
        <f t="shared" si="99"/>
        <v>6.3664629124104977E-10</v>
      </c>
      <c r="S151" s="64">
        <f t="shared" si="91"/>
        <v>15</v>
      </c>
      <c r="T151" s="3">
        <f t="shared" si="83"/>
        <v>17</v>
      </c>
      <c r="U151" s="63" t="str">
        <f t="shared" si="62"/>
        <v>A</v>
      </c>
      <c r="V151" s="63" t="str">
        <f t="shared" si="84"/>
        <v>A</v>
      </c>
      <c r="W151" s="84" t="str">
        <f t="shared" si="85"/>
        <v>Mensal</v>
      </c>
      <c r="X151" s="3">
        <f t="shared" si="92"/>
        <v>1</v>
      </c>
      <c r="Y151" s="3">
        <f t="shared" si="93"/>
        <v>1</v>
      </c>
      <c r="Z151" s="3">
        <f t="shared" si="94"/>
        <v>1</v>
      </c>
      <c r="AA151" s="3">
        <f t="shared" si="95"/>
        <v>15</v>
      </c>
      <c r="AJ151" s="5">
        <v>143</v>
      </c>
      <c r="AK151" s="130">
        <v>4.0000000000000002E-4</v>
      </c>
    </row>
    <row r="152" spans="1:37" x14ac:dyDescent="0.2">
      <c r="A152" s="76" t="str">
        <f t="shared" si="79"/>
        <v>2032</v>
      </c>
      <c r="B152" s="76" t="str">
        <f t="shared" si="80"/>
        <v>03/2032</v>
      </c>
      <c r="C152" s="55">
        <f t="shared" si="86"/>
        <v>46826</v>
      </c>
      <c r="D152" s="56">
        <f>WORKDAY((F152+14)-1,1,Feriados!$B$3:$B$626)</f>
        <v>46826</v>
      </c>
      <c r="E152" s="56">
        <f t="shared" si="100"/>
        <v>46797</v>
      </c>
      <c r="F152" s="56">
        <f t="shared" ref="F152:F153" si="101">EOMONTH(E152,0)+1</f>
        <v>46812</v>
      </c>
      <c r="G152" s="57" t="e">
        <f>VLOOKUP(F152,'Série IPCA'!$K$10:$L$997,2,FALSE)</f>
        <v>#N/A</v>
      </c>
      <c r="H152" s="58">
        <f>NETWORKDAYS(IF(C151="",D151,C151),D152,Feriados!$B$3:$B$626)-1</f>
        <v>20</v>
      </c>
      <c r="I152" s="58">
        <f>NETWORKDAYS(E152,D152,Feriados!$B$3:$B$626)-1</f>
        <v>20</v>
      </c>
      <c r="J152" s="62" t="e">
        <f t="shared" ref="J152:J153" si="102">(1+G152/100)^(H152/I152)</f>
        <v>#N/A</v>
      </c>
      <c r="K152" s="62">
        <f t="shared" si="87"/>
        <v>1.0014402878224715</v>
      </c>
      <c r="L152" s="62">
        <f t="shared" si="88"/>
        <v>1.0011196838688423</v>
      </c>
      <c r="M152" s="62">
        <f t="shared" si="89"/>
        <v>1.0031176046646693</v>
      </c>
      <c r="N152" s="62" t="e">
        <f t="shared" si="96"/>
        <v>#N/A</v>
      </c>
      <c r="O152" s="59">
        <f t="shared" si="90"/>
        <v>0</v>
      </c>
      <c r="P152" s="59">
        <f t="shared" si="97"/>
        <v>0</v>
      </c>
      <c r="Q152" s="59">
        <f t="shared" si="98"/>
        <v>0</v>
      </c>
      <c r="R152" s="60">
        <f t="shared" si="99"/>
        <v>6.3664629124104977E-10</v>
      </c>
      <c r="S152" s="64">
        <f t="shared" si="91"/>
        <v>14</v>
      </c>
      <c r="T152" s="3">
        <f t="shared" si="83"/>
        <v>16</v>
      </c>
      <c r="U152" s="63" t="str">
        <f t="shared" ref="U152:U153" si="103">IF(T151=0,"A",IF(U151="A","A","C"))</f>
        <v>A</v>
      </c>
      <c r="V152" s="63" t="str">
        <f t="shared" si="84"/>
        <v>A</v>
      </c>
      <c r="W152" s="84" t="str">
        <f t="shared" si="85"/>
        <v>Mensal</v>
      </c>
      <c r="X152" s="3">
        <f t="shared" si="92"/>
        <v>1</v>
      </c>
      <c r="Y152" s="3">
        <f t="shared" si="93"/>
        <v>1</v>
      </c>
      <c r="Z152" s="3">
        <f t="shared" si="94"/>
        <v>1</v>
      </c>
      <c r="AA152" s="3">
        <f t="shared" si="95"/>
        <v>14</v>
      </c>
      <c r="AJ152" s="5">
        <v>144</v>
      </c>
      <c r="AK152" s="130">
        <v>4.0000000000000002E-4</v>
      </c>
    </row>
    <row r="153" spans="1:37" x14ac:dyDescent="0.2">
      <c r="A153" s="76" t="str">
        <f t="shared" si="79"/>
        <v>2032</v>
      </c>
      <c r="B153" s="76" t="str">
        <f t="shared" si="80"/>
        <v>04/2032</v>
      </c>
      <c r="C153" s="55">
        <f t="shared" si="86"/>
        <v>46857</v>
      </c>
      <c r="D153" s="56">
        <f>WORKDAY((F153+14)-1,1,Feriados!$B$3:$B$626)</f>
        <v>46857</v>
      </c>
      <c r="E153" s="56">
        <f t="shared" si="100"/>
        <v>46826</v>
      </c>
      <c r="F153" s="56">
        <f t="shared" si="101"/>
        <v>46843</v>
      </c>
      <c r="G153" s="57" t="e">
        <f>VLOOKUP(F153,'Série IPCA'!$K$10:$L$997,2,FALSE)</f>
        <v>#N/A</v>
      </c>
      <c r="H153" s="58">
        <f>NETWORKDAYS(IF(C152="",D152,C152),D153,Feriados!$B$3:$B$626)-1</f>
        <v>22</v>
      </c>
      <c r="I153" s="58">
        <f>NETWORKDAYS(E153,D153,Feriados!$B$3:$B$626)-1</f>
        <v>22</v>
      </c>
      <c r="J153" s="62" t="e">
        <f t="shared" si="102"/>
        <v>#N/A</v>
      </c>
      <c r="K153" s="62">
        <f t="shared" si="87"/>
        <v>1.0015844306490498</v>
      </c>
      <c r="L153" s="62">
        <f t="shared" si="88"/>
        <v>1.0012317211856352</v>
      </c>
      <c r="M153" s="62">
        <f t="shared" si="89"/>
        <v>1.0034298992021382</v>
      </c>
      <c r="N153" s="62" t="e">
        <f t="shared" si="96"/>
        <v>#N/A</v>
      </c>
      <c r="O153" s="59">
        <f t="shared" si="90"/>
        <v>0</v>
      </c>
      <c r="P153" s="59">
        <f t="shared" si="97"/>
        <v>0</v>
      </c>
      <c r="Q153" s="59">
        <f t="shared" si="98"/>
        <v>0</v>
      </c>
      <c r="R153" s="60">
        <f t="shared" si="99"/>
        <v>6.3664629124104977E-10</v>
      </c>
      <c r="S153" s="64">
        <f t="shared" si="91"/>
        <v>13</v>
      </c>
      <c r="T153" s="3">
        <f t="shared" si="83"/>
        <v>15</v>
      </c>
      <c r="U153" s="63" t="str">
        <f t="shared" si="103"/>
        <v>A</v>
      </c>
      <c r="V153" s="63" t="str">
        <f t="shared" si="84"/>
        <v>A</v>
      </c>
      <c r="W153" s="84" t="str">
        <f t="shared" si="85"/>
        <v>Mensal</v>
      </c>
      <c r="X153" s="3">
        <f t="shared" si="92"/>
        <v>1</v>
      </c>
      <c r="Y153" s="3">
        <f t="shared" si="93"/>
        <v>1</v>
      </c>
      <c r="Z153" s="3">
        <f t="shared" si="94"/>
        <v>1</v>
      </c>
      <c r="AA153" s="3">
        <f t="shared" si="95"/>
        <v>13</v>
      </c>
      <c r="AJ153" s="5">
        <v>145</v>
      </c>
      <c r="AK153" s="130">
        <v>4.0000000000000002E-4</v>
      </c>
    </row>
    <row r="154" spans="1:37" x14ac:dyDescent="0.2">
      <c r="C154" s="210" t="s">
        <v>47</v>
      </c>
      <c r="D154" s="210"/>
      <c r="E154" s="210"/>
      <c r="F154" s="210"/>
      <c r="G154" s="210"/>
      <c r="H154" s="210"/>
      <c r="I154" s="210"/>
      <c r="J154" s="210"/>
      <c r="K154" s="210"/>
      <c r="L154" s="210"/>
      <c r="M154" s="210"/>
      <c r="N154" s="210"/>
      <c r="O154" s="71">
        <f>SUM(O10:O153)</f>
        <v>352989.83999999997</v>
      </c>
      <c r="P154" s="71">
        <f t="shared" ref="P154:Q154" si="104">SUM(P10:P153)</f>
        <v>999999.99999999953</v>
      </c>
      <c r="Q154" s="71">
        <f t="shared" si="104"/>
        <v>1352989.84</v>
      </c>
      <c r="R154" s="72"/>
      <c r="S154" s="72"/>
      <c r="AK154" s="130"/>
    </row>
    <row r="155" spans="1:37" x14ac:dyDescent="0.2">
      <c r="AK155" s="130"/>
    </row>
    <row r="156" spans="1:37" x14ac:dyDescent="0.2">
      <c r="AK156" s="130"/>
    </row>
    <row r="157" spans="1:37" x14ac:dyDescent="0.2">
      <c r="AK157" s="130"/>
    </row>
    <row r="158" spans="1:37" x14ac:dyDescent="0.2">
      <c r="AK158" s="130"/>
    </row>
    <row r="159" spans="1:37" x14ac:dyDescent="0.2">
      <c r="AK159" s="130"/>
    </row>
    <row r="160" spans="1:37" x14ac:dyDescent="0.2">
      <c r="AK160" s="130"/>
    </row>
    <row r="161" spans="37:37" x14ac:dyDescent="0.2">
      <c r="AK161" s="130"/>
    </row>
    <row r="162" spans="37:37" x14ac:dyDescent="0.2">
      <c r="AK162" s="130"/>
    </row>
    <row r="163" spans="37:37" x14ac:dyDescent="0.2">
      <c r="AK163" s="130"/>
    </row>
    <row r="164" spans="37:37" x14ac:dyDescent="0.2">
      <c r="AK164" s="130"/>
    </row>
    <row r="165" spans="37:37" x14ac:dyDescent="0.2">
      <c r="AK165" s="130"/>
    </row>
    <row r="166" spans="37:37" x14ac:dyDescent="0.2">
      <c r="AK166" s="130"/>
    </row>
    <row r="167" spans="37:37" x14ac:dyDescent="0.2">
      <c r="AK167" s="130"/>
    </row>
    <row r="168" spans="37:37" x14ac:dyDescent="0.2">
      <c r="AK168" s="130"/>
    </row>
    <row r="169" spans="37:37" x14ac:dyDescent="0.2">
      <c r="AK169" s="130"/>
    </row>
    <row r="170" spans="37:37" x14ac:dyDescent="0.2">
      <c r="AK170" s="130"/>
    </row>
    <row r="171" spans="37:37" x14ac:dyDescent="0.2">
      <c r="AK171" s="130"/>
    </row>
    <row r="172" spans="37:37" x14ac:dyDescent="0.2">
      <c r="AK172" s="130"/>
    </row>
    <row r="173" spans="37:37" x14ac:dyDescent="0.2">
      <c r="AK173" s="130"/>
    </row>
    <row r="174" spans="37:37" x14ac:dyDescent="0.2">
      <c r="AK174" s="130"/>
    </row>
    <row r="175" spans="37:37" x14ac:dyDescent="0.2">
      <c r="AK175" s="130"/>
    </row>
    <row r="176" spans="37:37" x14ac:dyDescent="0.2">
      <c r="AK176" s="130"/>
    </row>
    <row r="177" spans="37:37" x14ac:dyDescent="0.2">
      <c r="AK177" s="130"/>
    </row>
    <row r="178" spans="37:37" x14ac:dyDescent="0.2">
      <c r="AK178" s="130"/>
    </row>
    <row r="179" spans="37:37" x14ac:dyDescent="0.2">
      <c r="AK179" s="130"/>
    </row>
    <row r="180" spans="37:37" x14ac:dyDescent="0.2">
      <c r="AK180" s="130"/>
    </row>
    <row r="181" spans="37:37" x14ac:dyDescent="0.2">
      <c r="AK181" s="130"/>
    </row>
    <row r="182" spans="37:37" x14ac:dyDescent="0.2">
      <c r="AK182" s="130"/>
    </row>
    <row r="183" spans="37:37" x14ac:dyDescent="0.2">
      <c r="AK183" s="130"/>
    </row>
    <row r="184" spans="37:37" x14ac:dyDescent="0.2">
      <c r="AK184" s="130"/>
    </row>
    <row r="185" spans="37:37" x14ac:dyDescent="0.2">
      <c r="AK185" s="130"/>
    </row>
    <row r="186" spans="37:37" x14ac:dyDescent="0.2">
      <c r="AK186" s="130"/>
    </row>
    <row r="187" spans="37:37" x14ac:dyDescent="0.2">
      <c r="AK187" s="130"/>
    </row>
    <row r="188" spans="37:37" x14ac:dyDescent="0.2">
      <c r="AK188" s="130"/>
    </row>
    <row r="189" spans="37:37" x14ac:dyDescent="0.2">
      <c r="AK189" s="130"/>
    </row>
    <row r="190" spans="37:37" x14ac:dyDescent="0.2">
      <c r="AK190" s="130"/>
    </row>
    <row r="191" spans="37:37" x14ac:dyDescent="0.2">
      <c r="AK191" s="130"/>
    </row>
    <row r="192" spans="37:37" x14ac:dyDescent="0.2">
      <c r="AK192" s="130"/>
    </row>
    <row r="193" spans="37:37" x14ac:dyDescent="0.2">
      <c r="AK193" s="130"/>
    </row>
    <row r="194" spans="37:37" x14ac:dyDescent="0.2">
      <c r="AK194" s="130"/>
    </row>
    <row r="195" spans="37:37" x14ac:dyDescent="0.2">
      <c r="AK195" s="130"/>
    </row>
    <row r="196" spans="37:37" x14ac:dyDescent="0.2">
      <c r="AK196" s="130"/>
    </row>
    <row r="197" spans="37:37" x14ac:dyDescent="0.2">
      <c r="AK197" s="130"/>
    </row>
    <row r="198" spans="37:37" x14ac:dyDescent="0.2">
      <c r="AK198" s="130"/>
    </row>
    <row r="199" spans="37:37" x14ac:dyDescent="0.2">
      <c r="AK199" s="130"/>
    </row>
    <row r="200" spans="37:37" x14ac:dyDescent="0.2">
      <c r="AK200" s="130"/>
    </row>
    <row r="201" spans="37:37" x14ac:dyDescent="0.2">
      <c r="AK201" s="130"/>
    </row>
    <row r="202" spans="37:37" x14ac:dyDescent="0.2">
      <c r="AK202" s="130"/>
    </row>
    <row r="203" spans="37:37" x14ac:dyDescent="0.2">
      <c r="AK203" s="130"/>
    </row>
    <row r="204" spans="37:37" x14ac:dyDescent="0.2">
      <c r="AK204" s="130"/>
    </row>
    <row r="205" spans="37:37" x14ac:dyDescent="0.2">
      <c r="AK205" s="130"/>
    </row>
    <row r="206" spans="37:37" x14ac:dyDescent="0.2">
      <c r="AK206" s="130"/>
    </row>
    <row r="207" spans="37:37" x14ac:dyDescent="0.2">
      <c r="AK207" s="130"/>
    </row>
    <row r="208" spans="37:37" x14ac:dyDescent="0.2">
      <c r="AK208" s="130"/>
    </row>
    <row r="209" spans="37:37" x14ac:dyDescent="0.2">
      <c r="AK209" s="130"/>
    </row>
    <row r="210" spans="37:37" x14ac:dyDescent="0.2">
      <c r="AK210" s="130"/>
    </row>
    <row r="211" spans="37:37" x14ac:dyDescent="0.2">
      <c r="AK211" s="130"/>
    </row>
    <row r="212" spans="37:37" x14ac:dyDescent="0.2">
      <c r="AK212" s="130"/>
    </row>
    <row r="213" spans="37:37" x14ac:dyDescent="0.2">
      <c r="AK213" s="130"/>
    </row>
    <row r="214" spans="37:37" x14ac:dyDescent="0.2">
      <c r="AK214" s="130"/>
    </row>
    <row r="215" spans="37:37" x14ac:dyDescent="0.2">
      <c r="AK215" s="130"/>
    </row>
    <row r="216" spans="37:37" x14ac:dyDescent="0.2">
      <c r="AK216" s="130"/>
    </row>
    <row r="217" spans="37:37" x14ac:dyDescent="0.2">
      <c r="AK217" s="130"/>
    </row>
    <row r="218" spans="37:37" x14ac:dyDescent="0.2">
      <c r="AK218" s="130"/>
    </row>
    <row r="219" spans="37:37" x14ac:dyDescent="0.2">
      <c r="AK219" s="130"/>
    </row>
    <row r="220" spans="37:37" x14ac:dyDescent="0.2">
      <c r="AK220" s="130"/>
    </row>
    <row r="221" spans="37:37" x14ac:dyDescent="0.2">
      <c r="AK221" s="130"/>
    </row>
    <row r="222" spans="37:37" x14ac:dyDescent="0.2">
      <c r="AK222" s="130"/>
    </row>
    <row r="223" spans="37:37" x14ac:dyDescent="0.2">
      <c r="AK223" s="130"/>
    </row>
    <row r="224" spans="37:37" x14ac:dyDescent="0.2">
      <c r="AK224" s="130"/>
    </row>
    <row r="225" spans="37:37" x14ac:dyDescent="0.2">
      <c r="AK225" s="130"/>
    </row>
    <row r="226" spans="37:37" x14ac:dyDescent="0.2">
      <c r="AK226" s="130"/>
    </row>
    <row r="227" spans="37:37" x14ac:dyDescent="0.2">
      <c r="AK227" s="130"/>
    </row>
    <row r="228" spans="37:37" x14ac:dyDescent="0.2">
      <c r="AK228" s="130"/>
    </row>
    <row r="229" spans="37:37" x14ac:dyDescent="0.2">
      <c r="AK229" s="130"/>
    </row>
    <row r="230" spans="37:37" x14ac:dyDescent="0.2">
      <c r="AK230" s="130"/>
    </row>
    <row r="231" spans="37:37" x14ac:dyDescent="0.2">
      <c r="AK231" s="130"/>
    </row>
    <row r="232" spans="37:37" x14ac:dyDescent="0.2">
      <c r="AK232" s="130"/>
    </row>
    <row r="233" spans="37:37" x14ac:dyDescent="0.2">
      <c r="AK233" s="130"/>
    </row>
    <row r="234" spans="37:37" x14ac:dyDescent="0.2">
      <c r="AK234" s="130"/>
    </row>
    <row r="235" spans="37:37" x14ac:dyDescent="0.2">
      <c r="AK235" s="130"/>
    </row>
    <row r="236" spans="37:37" x14ac:dyDescent="0.2">
      <c r="AK236" s="130"/>
    </row>
    <row r="237" spans="37:37" x14ac:dyDescent="0.2">
      <c r="AK237" s="130"/>
    </row>
    <row r="238" spans="37:37" x14ac:dyDescent="0.2">
      <c r="AK238" s="130"/>
    </row>
    <row r="239" spans="37:37" x14ac:dyDescent="0.2">
      <c r="AK239" s="130"/>
    </row>
    <row r="240" spans="37:37" x14ac:dyDescent="0.2">
      <c r="AK240" s="130"/>
    </row>
    <row r="241" spans="37:37" x14ac:dyDescent="0.2">
      <c r="AK241" s="130"/>
    </row>
    <row r="242" spans="37:37" x14ac:dyDescent="0.2">
      <c r="AK242" s="130"/>
    </row>
    <row r="243" spans="37:37" x14ac:dyDescent="0.2">
      <c r="AK243" s="130"/>
    </row>
    <row r="244" spans="37:37" x14ac:dyDescent="0.2">
      <c r="AK244" s="130"/>
    </row>
    <row r="245" spans="37:37" x14ac:dyDescent="0.2">
      <c r="AK245" s="130"/>
    </row>
    <row r="246" spans="37:37" x14ac:dyDescent="0.2">
      <c r="AK246" s="130"/>
    </row>
    <row r="247" spans="37:37" x14ac:dyDescent="0.2">
      <c r="AK247" s="130"/>
    </row>
    <row r="248" spans="37:37" x14ac:dyDescent="0.2">
      <c r="AK248" s="130"/>
    </row>
    <row r="249" spans="37:37" x14ac:dyDescent="0.2">
      <c r="AK249" s="130"/>
    </row>
    <row r="250" spans="37:37" x14ac:dyDescent="0.2">
      <c r="AK250" s="130"/>
    </row>
    <row r="251" spans="37:37" x14ac:dyDescent="0.2">
      <c r="AK251" s="130"/>
    </row>
    <row r="252" spans="37:37" x14ac:dyDescent="0.2">
      <c r="AK252" s="130"/>
    </row>
    <row r="253" spans="37:37" x14ac:dyDescent="0.2">
      <c r="AK253" s="130"/>
    </row>
    <row r="254" spans="37:37" x14ac:dyDescent="0.2">
      <c r="AK254" s="130"/>
    </row>
    <row r="255" spans="37:37" x14ac:dyDescent="0.2">
      <c r="AK255" s="130"/>
    </row>
    <row r="256" spans="37:37" x14ac:dyDescent="0.2">
      <c r="AK256" s="130"/>
    </row>
    <row r="257" spans="37:37" x14ac:dyDescent="0.2">
      <c r="AK257" s="130"/>
    </row>
    <row r="258" spans="37:37" x14ac:dyDescent="0.2">
      <c r="AK258" s="130"/>
    </row>
    <row r="259" spans="37:37" x14ac:dyDescent="0.2">
      <c r="AK259" s="130"/>
    </row>
    <row r="260" spans="37:37" x14ac:dyDescent="0.2">
      <c r="AK260" s="130"/>
    </row>
    <row r="261" spans="37:37" x14ac:dyDescent="0.2">
      <c r="AK261" s="130"/>
    </row>
  </sheetData>
  <sheetProtection algorithmName="SHA-512" hashValue="/E6hqz2lnZ3QScg4S1Tox6NhjQ1pRtlmpPyhEWzXoJilTSwqPT/Rwu7CWPIU15OhX9Dn/WG1rSxRNpurpHJjrA==" saltValue="b/5J1WRALk4NZ95xPfE/oA==" spinCount="100000" sheet="1" objects="1" scenarios="1"/>
  <mergeCells count="10">
    <mergeCell ref="C154:N154"/>
    <mergeCell ref="F6:G7"/>
    <mergeCell ref="J6:N6"/>
    <mergeCell ref="J7:K7"/>
    <mergeCell ref="L7:M7"/>
    <mergeCell ref="AL6:AM8"/>
    <mergeCell ref="D1:K1"/>
    <mergeCell ref="L1:Q1"/>
    <mergeCell ref="AH6:AH8"/>
    <mergeCell ref="C5:S5"/>
  </mergeCells>
  <hyperlinks>
    <hyperlink ref="AL1" r:id="rId1" xr:uid="{00000000-0004-0000-0000-000000000000}"/>
  </hyperlinks>
  <pageMargins left="0.62992125984251968" right="0.23622047244094491" top="0.39370078740157483" bottom="0.39370078740157483" header="0.31496062992125984" footer="0.31496062992125984"/>
  <pageSetup paperSize="9" scale="75" orientation="landscape" r:id="rId2"/>
  <headerFooter alignWithMargins="0">
    <oddFooter>Página &amp;P de &amp;N</oddFooter>
  </headerFooter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4"/>
  <sheetViews>
    <sheetView workbookViewId="0">
      <selection activeCell="C20" sqref="C20"/>
    </sheetView>
  </sheetViews>
  <sheetFormatPr defaultRowHeight="12.75" x14ac:dyDescent="0.2"/>
  <cols>
    <col min="1" max="1" width="11.5703125" customWidth="1"/>
    <col min="2" max="2" width="10.7109375" bestFit="1" customWidth="1"/>
    <col min="3" max="3" width="12.140625" customWidth="1"/>
    <col min="4" max="4" width="10.28515625" bestFit="1" customWidth="1"/>
    <col min="5" max="5" width="14.7109375" customWidth="1"/>
    <col min="6" max="6" width="12.5703125" customWidth="1"/>
    <col min="7" max="7" width="15.42578125" bestFit="1" customWidth="1"/>
  </cols>
  <sheetData>
    <row r="1" spans="1:7" x14ac:dyDescent="0.2">
      <c r="A1" s="120" t="s">
        <v>239</v>
      </c>
      <c r="B1" s="219" t="str">
        <f>Simulador!D1</f>
        <v>Novo Financiamento com IPCA Exigível</v>
      </c>
      <c r="C1" s="219"/>
      <c r="D1" s="219"/>
      <c r="E1" s="219"/>
      <c r="F1" s="110" t="s">
        <v>44</v>
      </c>
      <c r="G1" s="77">
        <f ca="1">TODAY()</f>
        <v>42440</v>
      </c>
    </row>
    <row r="2" spans="1:7" x14ac:dyDescent="0.2">
      <c r="A2" s="120" t="s">
        <v>158</v>
      </c>
      <c r="B2" s="218">
        <f>Simulador!C3</f>
        <v>1000000</v>
      </c>
      <c r="C2" s="218"/>
      <c r="D2" s="118"/>
    </row>
    <row r="3" spans="1:7" s="5" customFormat="1" x14ac:dyDescent="0.2">
      <c r="A3" s="120" t="s">
        <v>240</v>
      </c>
      <c r="B3" s="180">
        <f>Simulador!F3</f>
        <v>7.4070254399999813</v>
      </c>
      <c r="C3" s="181" t="s">
        <v>254</v>
      </c>
      <c r="D3" s="118"/>
    </row>
    <row r="4" spans="1:7" x14ac:dyDescent="0.2">
      <c r="A4" s="178"/>
      <c r="B4" s="186"/>
      <c r="C4" s="186"/>
      <c r="D4" s="179"/>
      <c r="E4" s="189" t="s">
        <v>55</v>
      </c>
      <c r="F4" s="186"/>
      <c r="G4" s="179"/>
    </row>
    <row r="5" spans="1:7" x14ac:dyDescent="0.2">
      <c r="A5" s="188" t="s">
        <v>128</v>
      </c>
      <c r="B5" s="112" t="s">
        <v>129</v>
      </c>
      <c r="C5" s="112" t="s">
        <v>40</v>
      </c>
      <c r="D5" s="192" t="s">
        <v>257</v>
      </c>
      <c r="E5" s="190" t="s">
        <v>250</v>
      </c>
      <c r="F5" s="117" t="s">
        <v>144</v>
      </c>
      <c r="G5" s="117" t="s">
        <v>127</v>
      </c>
    </row>
    <row r="6" spans="1:7" x14ac:dyDescent="0.2">
      <c r="A6" s="5" t="s">
        <v>48</v>
      </c>
      <c r="B6" s="5" t="s">
        <v>56</v>
      </c>
      <c r="C6" s="77">
        <v>42384</v>
      </c>
      <c r="D6" s="5" t="s">
        <v>255</v>
      </c>
      <c r="E6" s="78"/>
      <c r="F6" s="78"/>
      <c r="G6" s="78"/>
    </row>
    <row r="7" spans="1:7" x14ac:dyDescent="0.2">
      <c r="B7" s="5" t="s">
        <v>58</v>
      </c>
      <c r="C7" s="5" t="s">
        <v>256</v>
      </c>
      <c r="D7" s="5"/>
      <c r="E7" s="78">
        <v>0</v>
      </c>
      <c r="F7" s="78">
        <v>0</v>
      </c>
      <c r="G7" s="78">
        <v>0</v>
      </c>
    </row>
    <row r="8" spans="1:7" x14ac:dyDescent="0.2">
      <c r="B8" s="5" t="s">
        <v>59</v>
      </c>
      <c r="C8" s="5" t="s">
        <v>256</v>
      </c>
      <c r="D8" s="5"/>
      <c r="E8" s="78">
        <v>0</v>
      </c>
      <c r="F8" s="78">
        <v>0</v>
      </c>
      <c r="G8" s="78">
        <v>0</v>
      </c>
    </row>
    <row r="9" spans="1:7" x14ac:dyDescent="0.2">
      <c r="B9" s="5" t="s">
        <v>60</v>
      </c>
      <c r="C9" s="77">
        <v>42474</v>
      </c>
      <c r="D9" s="5">
        <v>4</v>
      </c>
      <c r="E9" s="78">
        <v>25807.47</v>
      </c>
      <c r="F9" s="78">
        <v>25807.47</v>
      </c>
      <c r="G9" s="78">
        <v>0</v>
      </c>
    </row>
    <row r="10" spans="1:7" x14ac:dyDescent="0.2">
      <c r="B10" s="5" t="s">
        <v>61</v>
      </c>
      <c r="C10" s="5" t="s">
        <v>256</v>
      </c>
      <c r="D10" s="5"/>
      <c r="E10" s="78">
        <v>0</v>
      </c>
      <c r="F10" s="78">
        <v>0</v>
      </c>
      <c r="G10" s="78">
        <v>0</v>
      </c>
    </row>
    <row r="11" spans="1:7" x14ac:dyDescent="0.2">
      <c r="B11" s="5" t="s">
        <v>62</v>
      </c>
      <c r="C11" s="5" t="s">
        <v>256</v>
      </c>
      <c r="D11" s="5"/>
      <c r="E11" s="78">
        <v>0</v>
      </c>
      <c r="F11" s="78">
        <v>0</v>
      </c>
      <c r="G11" s="78">
        <v>0</v>
      </c>
    </row>
    <row r="12" spans="1:7" x14ac:dyDescent="0.2">
      <c r="B12" s="5" t="s">
        <v>63</v>
      </c>
      <c r="C12" s="77">
        <v>42565</v>
      </c>
      <c r="D12" s="5">
        <v>3</v>
      </c>
      <c r="E12" s="78">
        <v>24729.63</v>
      </c>
      <c r="F12" s="78">
        <v>24729.63</v>
      </c>
      <c r="G12" s="78">
        <v>0</v>
      </c>
    </row>
    <row r="13" spans="1:7" x14ac:dyDescent="0.2">
      <c r="B13" s="5" t="s">
        <v>64</v>
      </c>
      <c r="C13" s="5" t="s">
        <v>256</v>
      </c>
      <c r="D13" s="5"/>
      <c r="E13" s="78">
        <v>0</v>
      </c>
      <c r="F13" s="78">
        <v>0</v>
      </c>
      <c r="G13" s="78">
        <v>0</v>
      </c>
    </row>
    <row r="14" spans="1:7" x14ac:dyDescent="0.2">
      <c r="B14" s="5" t="s">
        <v>65</v>
      </c>
      <c r="C14" s="5" t="s">
        <v>256</v>
      </c>
      <c r="D14" s="5"/>
      <c r="E14" s="78">
        <v>0</v>
      </c>
      <c r="F14" s="78">
        <v>0</v>
      </c>
      <c r="G14" s="78">
        <v>0</v>
      </c>
    </row>
    <row r="15" spans="1:7" x14ac:dyDescent="0.2">
      <c r="B15" s="5" t="s">
        <v>66</v>
      </c>
      <c r="C15" s="77">
        <v>42657</v>
      </c>
      <c r="D15" s="5">
        <v>2</v>
      </c>
      <c r="E15" s="78">
        <v>24809.14</v>
      </c>
      <c r="F15" s="78">
        <v>24809.14</v>
      </c>
      <c r="G15" s="78">
        <v>0</v>
      </c>
    </row>
    <row r="16" spans="1:7" x14ac:dyDescent="0.2">
      <c r="B16" s="5" t="s">
        <v>67</v>
      </c>
      <c r="C16" s="5" t="s">
        <v>256</v>
      </c>
      <c r="D16" s="5"/>
      <c r="E16" s="78">
        <v>0</v>
      </c>
      <c r="F16" s="78">
        <v>0</v>
      </c>
      <c r="G16" s="78">
        <v>0</v>
      </c>
    </row>
    <row r="17" spans="1:7" x14ac:dyDescent="0.2">
      <c r="B17" s="5" t="s">
        <v>68</v>
      </c>
      <c r="C17" s="5" t="s">
        <v>256</v>
      </c>
      <c r="D17" s="5"/>
      <c r="E17" s="78">
        <v>0</v>
      </c>
      <c r="F17" s="78">
        <v>0</v>
      </c>
      <c r="G17" s="78">
        <v>0</v>
      </c>
    </row>
    <row r="18" spans="1:7" x14ac:dyDescent="0.2">
      <c r="A18" s="5" t="s">
        <v>57</v>
      </c>
      <c r="B18" s="5"/>
      <c r="C18" s="5"/>
      <c r="D18" s="5"/>
      <c r="E18" s="78">
        <v>75346.240000000005</v>
      </c>
      <c r="F18" s="78">
        <v>75346.240000000005</v>
      </c>
      <c r="G18" s="78">
        <v>0</v>
      </c>
    </row>
    <row r="19" spans="1:7" x14ac:dyDescent="0.2">
      <c r="A19" s="5" t="s">
        <v>49</v>
      </c>
      <c r="B19" s="5" t="s">
        <v>69</v>
      </c>
      <c r="C19" s="77">
        <v>42749</v>
      </c>
      <c r="D19" s="5">
        <v>1</v>
      </c>
      <c r="E19" s="78">
        <v>25568.34</v>
      </c>
      <c r="F19" s="78">
        <v>25568.34</v>
      </c>
      <c r="G19" s="78">
        <v>0</v>
      </c>
    </row>
    <row r="20" spans="1:7" x14ac:dyDescent="0.2">
      <c r="B20" s="5" t="s">
        <v>71</v>
      </c>
      <c r="C20" s="77">
        <v>42782</v>
      </c>
      <c r="D20" s="5">
        <v>108</v>
      </c>
      <c r="E20" s="78">
        <v>17656.739999999998</v>
      </c>
      <c r="F20" s="78">
        <v>8397.48</v>
      </c>
      <c r="G20" s="78">
        <v>9259.26</v>
      </c>
    </row>
    <row r="21" spans="1:7" x14ac:dyDescent="0.2">
      <c r="B21" s="5" t="s">
        <v>72</v>
      </c>
      <c r="C21" s="77">
        <v>42808</v>
      </c>
      <c r="D21" s="5">
        <v>107</v>
      </c>
      <c r="E21" s="78">
        <v>16700.580000000002</v>
      </c>
      <c r="F21" s="78">
        <v>7441.32</v>
      </c>
      <c r="G21" s="78">
        <v>9259.26</v>
      </c>
    </row>
    <row r="22" spans="1:7" x14ac:dyDescent="0.2">
      <c r="B22" s="5" t="s">
        <v>73</v>
      </c>
      <c r="C22" s="77">
        <v>42839</v>
      </c>
      <c r="D22" s="5">
        <v>106</v>
      </c>
      <c r="E22" s="78">
        <v>17722.47</v>
      </c>
      <c r="F22" s="78">
        <v>8463.2099999999991</v>
      </c>
      <c r="G22" s="78">
        <v>9259.26</v>
      </c>
    </row>
    <row r="23" spans="1:7" x14ac:dyDescent="0.2">
      <c r="B23" s="5" t="s">
        <v>74</v>
      </c>
      <c r="C23" s="77">
        <v>42871</v>
      </c>
      <c r="D23" s="5">
        <v>105</v>
      </c>
      <c r="E23" s="78">
        <v>17328.22</v>
      </c>
      <c r="F23" s="78">
        <v>8068.96</v>
      </c>
      <c r="G23" s="78">
        <v>9259.26</v>
      </c>
    </row>
    <row r="24" spans="1:7" x14ac:dyDescent="0.2">
      <c r="B24" s="5" t="s">
        <v>75</v>
      </c>
      <c r="C24" s="77">
        <v>42900</v>
      </c>
      <c r="D24" s="5">
        <v>104</v>
      </c>
      <c r="E24" s="78">
        <v>16947.52</v>
      </c>
      <c r="F24" s="78">
        <v>7688.26</v>
      </c>
      <c r="G24" s="78">
        <v>9259.26</v>
      </c>
    </row>
    <row r="25" spans="1:7" x14ac:dyDescent="0.2">
      <c r="B25" s="5" t="s">
        <v>76</v>
      </c>
      <c r="C25" s="77">
        <v>42930</v>
      </c>
      <c r="D25" s="5">
        <v>103</v>
      </c>
      <c r="E25" s="78">
        <v>17424.22</v>
      </c>
      <c r="F25" s="78">
        <v>8164.96</v>
      </c>
      <c r="G25" s="78">
        <v>9259.26</v>
      </c>
    </row>
    <row r="26" spans="1:7" x14ac:dyDescent="0.2">
      <c r="B26" s="5" t="s">
        <v>77</v>
      </c>
      <c r="C26" s="77">
        <v>42962</v>
      </c>
      <c r="D26" s="5">
        <v>102</v>
      </c>
      <c r="E26" s="78">
        <v>17371.14</v>
      </c>
      <c r="F26" s="78">
        <v>8111.88</v>
      </c>
      <c r="G26" s="78">
        <v>9259.26</v>
      </c>
    </row>
    <row r="27" spans="1:7" x14ac:dyDescent="0.2">
      <c r="B27" s="5" t="s">
        <v>78</v>
      </c>
      <c r="C27" s="77">
        <v>42992</v>
      </c>
      <c r="D27" s="5">
        <v>101</v>
      </c>
      <c r="E27" s="78">
        <v>17047.05</v>
      </c>
      <c r="F27" s="78">
        <v>7787.79</v>
      </c>
      <c r="G27" s="78">
        <v>9259.26</v>
      </c>
    </row>
    <row r="28" spans="1:7" x14ac:dyDescent="0.2">
      <c r="B28" s="5" t="s">
        <v>79</v>
      </c>
      <c r="C28" s="77">
        <v>43022</v>
      </c>
      <c r="D28" s="5">
        <v>100</v>
      </c>
      <c r="E28" s="78">
        <v>16983.45</v>
      </c>
      <c r="F28" s="78">
        <v>7724.19</v>
      </c>
      <c r="G28" s="78">
        <v>9259.26</v>
      </c>
    </row>
    <row r="29" spans="1:7" x14ac:dyDescent="0.2">
      <c r="B29" s="5" t="s">
        <v>80</v>
      </c>
      <c r="C29" s="77">
        <v>43054</v>
      </c>
      <c r="D29" s="5">
        <v>99</v>
      </c>
      <c r="E29" s="78">
        <v>16656</v>
      </c>
      <c r="F29" s="78">
        <v>7396.74</v>
      </c>
      <c r="G29" s="78">
        <v>9259.26</v>
      </c>
    </row>
    <row r="30" spans="1:7" x14ac:dyDescent="0.2">
      <c r="B30" s="5" t="s">
        <v>81</v>
      </c>
      <c r="C30" s="77">
        <v>43083</v>
      </c>
      <c r="D30" s="5">
        <v>98</v>
      </c>
      <c r="E30" s="78">
        <v>16848.91</v>
      </c>
      <c r="F30" s="78">
        <v>7589.65</v>
      </c>
      <c r="G30" s="78">
        <v>9259.26</v>
      </c>
    </row>
    <row r="31" spans="1:7" x14ac:dyDescent="0.2">
      <c r="A31" s="5" t="s">
        <v>70</v>
      </c>
      <c r="B31" s="5"/>
      <c r="C31" s="5"/>
      <c r="D31" s="5"/>
      <c r="E31" s="78">
        <v>214254.64</v>
      </c>
      <c r="F31" s="78">
        <v>112402.78</v>
      </c>
      <c r="G31" s="78">
        <v>101851.85999999999</v>
      </c>
    </row>
    <row r="32" spans="1:7" x14ac:dyDescent="0.2">
      <c r="A32" s="5" t="s">
        <v>50</v>
      </c>
      <c r="B32" s="5" t="s">
        <v>82</v>
      </c>
      <c r="C32" s="77">
        <v>43116</v>
      </c>
      <c r="D32" s="5">
        <v>97</v>
      </c>
      <c r="E32" s="78">
        <v>17278.37</v>
      </c>
      <c r="F32" s="78">
        <v>8019.11</v>
      </c>
      <c r="G32" s="78">
        <v>9259.26</v>
      </c>
    </row>
    <row r="33" spans="1:7" x14ac:dyDescent="0.2">
      <c r="B33" s="5" t="s">
        <v>84</v>
      </c>
      <c r="C33" s="77">
        <v>43145</v>
      </c>
      <c r="D33" s="5">
        <v>96</v>
      </c>
      <c r="E33" s="78">
        <v>16666.36</v>
      </c>
      <c r="F33" s="78">
        <v>7407.1</v>
      </c>
      <c r="G33" s="78">
        <v>9259.26</v>
      </c>
    </row>
    <row r="34" spans="1:7" x14ac:dyDescent="0.2">
      <c r="B34" s="5" t="s">
        <v>85</v>
      </c>
      <c r="C34" s="77">
        <v>43173</v>
      </c>
      <c r="D34" s="5">
        <v>95</v>
      </c>
      <c r="E34" s="78">
        <v>15827.16</v>
      </c>
      <c r="F34" s="78">
        <v>6567.9</v>
      </c>
      <c r="G34" s="78">
        <v>9259.26</v>
      </c>
    </row>
    <row r="35" spans="1:7" x14ac:dyDescent="0.2">
      <c r="B35" s="5" t="s">
        <v>86</v>
      </c>
      <c r="C35" s="77">
        <v>43207</v>
      </c>
      <c r="D35" s="5">
        <v>94</v>
      </c>
      <c r="E35" s="78">
        <v>17004.07</v>
      </c>
      <c r="F35" s="78">
        <v>7744.81</v>
      </c>
      <c r="G35" s="78">
        <v>9259.26</v>
      </c>
    </row>
    <row r="36" spans="1:7" x14ac:dyDescent="0.2">
      <c r="B36" s="5" t="s">
        <v>87</v>
      </c>
      <c r="C36" s="77">
        <v>43235</v>
      </c>
      <c r="D36" s="5">
        <v>93</v>
      </c>
      <c r="E36" s="78">
        <v>15931.92</v>
      </c>
      <c r="F36" s="78">
        <v>6672.66</v>
      </c>
      <c r="G36" s="78">
        <v>9259.26</v>
      </c>
    </row>
    <row r="37" spans="1:7" x14ac:dyDescent="0.2">
      <c r="B37" s="5" t="s">
        <v>88</v>
      </c>
      <c r="C37" s="77">
        <v>43265</v>
      </c>
      <c r="D37" s="5">
        <v>92</v>
      </c>
      <c r="E37" s="78">
        <v>16595.440000000002</v>
      </c>
      <c r="F37" s="78">
        <v>7336.18</v>
      </c>
      <c r="G37" s="78">
        <v>9259.26</v>
      </c>
    </row>
    <row r="38" spans="1:7" x14ac:dyDescent="0.2">
      <c r="B38" s="5" t="s">
        <v>89</v>
      </c>
      <c r="C38" s="77">
        <v>43295</v>
      </c>
      <c r="D38" s="5">
        <v>91</v>
      </c>
      <c r="E38" s="78">
        <v>16277.53</v>
      </c>
      <c r="F38" s="78">
        <v>7018.27</v>
      </c>
      <c r="G38" s="78">
        <v>9259.26</v>
      </c>
    </row>
    <row r="39" spans="1:7" x14ac:dyDescent="0.2">
      <c r="B39" s="5" t="s">
        <v>90</v>
      </c>
      <c r="C39" s="77">
        <v>43326</v>
      </c>
      <c r="D39" s="5">
        <v>90</v>
      </c>
      <c r="E39" s="78">
        <v>16204.24</v>
      </c>
      <c r="F39" s="78">
        <v>6944.98</v>
      </c>
      <c r="G39" s="78">
        <v>9259.26</v>
      </c>
    </row>
    <row r="40" spans="1:7" x14ac:dyDescent="0.2">
      <c r="B40" s="5" t="s">
        <v>91</v>
      </c>
      <c r="C40" s="77">
        <v>43357</v>
      </c>
      <c r="D40" s="5">
        <v>89</v>
      </c>
      <c r="E40" s="78">
        <v>16365.91</v>
      </c>
      <c r="F40" s="78">
        <v>7106.65</v>
      </c>
      <c r="G40" s="78">
        <v>9259.26</v>
      </c>
    </row>
    <row r="41" spans="1:7" x14ac:dyDescent="0.2">
      <c r="B41" s="5" t="s">
        <v>92</v>
      </c>
      <c r="C41" s="77">
        <v>43389</v>
      </c>
      <c r="D41" s="5">
        <v>88</v>
      </c>
      <c r="E41" s="78">
        <v>16052.71</v>
      </c>
      <c r="F41" s="78">
        <v>6793.45</v>
      </c>
      <c r="G41" s="78">
        <v>9259.26</v>
      </c>
    </row>
    <row r="42" spans="1:7" x14ac:dyDescent="0.2">
      <c r="B42" s="5" t="s">
        <v>93</v>
      </c>
      <c r="C42" s="77">
        <v>43419</v>
      </c>
      <c r="D42" s="5">
        <v>87</v>
      </c>
      <c r="E42" s="78">
        <v>15743.94</v>
      </c>
      <c r="F42" s="78">
        <v>6484.68</v>
      </c>
      <c r="G42" s="78">
        <v>9259.26</v>
      </c>
    </row>
    <row r="43" spans="1:7" x14ac:dyDescent="0.2">
      <c r="B43" s="5" t="s">
        <v>94</v>
      </c>
      <c r="C43" s="77">
        <v>43448</v>
      </c>
      <c r="D43" s="5">
        <v>86</v>
      </c>
      <c r="E43" s="78">
        <v>15896.720000000001</v>
      </c>
      <c r="F43" s="78">
        <v>6637.46</v>
      </c>
      <c r="G43" s="78">
        <v>9259.26</v>
      </c>
    </row>
    <row r="44" spans="1:7" x14ac:dyDescent="0.2">
      <c r="A44" s="5" t="s">
        <v>83</v>
      </c>
      <c r="B44" s="5"/>
      <c r="C44" s="5"/>
      <c r="D44" s="5"/>
      <c r="E44" s="78">
        <v>195844.37</v>
      </c>
      <c r="F44" s="78">
        <v>84733.250000000015</v>
      </c>
      <c r="G44" s="78">
        <v>111111.11999999998</v>
      </c>
    </row>
    <row r="45" spans="1:7" x14ac:dyDescent="0.2">
      <c r="A45" s="5" t="s">
        <v>51</v>
      </c>
      <c r="B45" s="5" t="s">
        <v>95</v>
      </c>
      <c r="C45" s="77">
        <v>43480</v>
      </c>
      <c r="D45" s="5">
        <v>85</v>
      </c>
      <c r="E45" s="78">
        <v>16043.650000000001</v>
      </c>
      <c r="F45" s="78">
        <v>6784.39</v>
      </c>
      <c r="G45" s="78">
        <v>9259.26</v>
      </c>
    </row>
    <row r="46" spans="1:7" x14ac:dyDescent="0.2">
      <c r="B46" s="5" t="s">
        <v>97</v>
      </c>
      <c r="C46" s="77">
        <v>43510</v>
      </c>
      <c r="D46" s="5">
        <v>84</v>
      </c>
      <c r="E46" s="78">
        <v>15962.470000000001</v>
      </c>
      <c r="F46" s="78">
        <v>6703.21</v>
      </c>
      <c r="G46" s="78">
        <v>9259.26</v>
      </c>
    </row>
    <row r="47" spans="1:7" x14ac:dyDescent="0.2">
      <c r="B47" s="5" t="s">
        <v>98</v>
      </c>
      <c r="C47" s="77">
        <v>43538</v>
      </c>
      <c r="D47" s="5">
        <v>83</v>
      </c>
      <c r="E47" s="78">
        <v>15000.23</v>
      </c>
      <c r="F47" s="78">
        <v>5740.97</v>
      </c>
      <c r="G47" s="78">
        <v>9259.26</v>
      </c>
    </row>
    <row r="48" spans="1:7" x14ac:dyDescent="0.2">
      <c r="B48" s="5" t="s">
        <v>99</v>
      </c>
      <c r="C48" s="77">
        <v>43571</v>
      </c>
      <c r="D48" s="5">
        <v>82</v>
      </c>
      <c r="E48" s="78">
        <v>15802.98</v>
      </c>
      <c r="F48" s="78">
        <v>6543.72</v>
      </c>
      <c r="G48" s="78">
        <v>9259.26</v>
      </c>
    </row>
    <row r="49" spans="1:7" x14ac:dyDescent="0.2">
      <c r="B49" s="5" t="s">
        <v>100</v>
      </c>
      <c r="C49" s="77">
        <v>43599</v>
      </c>
      <c r="D49" s="5">
        <v>81</v>
      </c>
      <c r="E49" s="78">
        <v>14862.58</v>
      </c>
      <c r="F49" s="78">
        <v>5603.32</v>
      </c>
      <c r="G49" s="78">
        <v>9259.26</v>
      </c>
    </row>
    <row r="50" spans="1:7" x14ac:dyDescent="0.2">
      <c r="B50" s="5" t="s">
        <v>101</v>
      </c>
      <c r="C50" s="77">
        <v>43630</v>
      </c>
      <c r="D50" s="5">
        <v>80</v>
      </c>
      <c r="E50" s="78">
        <v>15644.41</v>
      </c>
      <c r="F50" s="78">
        <v>6385.15</v>
      </c>
      <c r="G50" s="78">
        <v>9259.26</v>
      </c>
    </row>
    <row r="51" spans="1:7" x14ac:dyDescent="0.2">
      <c r="B51" s="5" t="s">
        <v>102</v>
      </c>
      <c r="C51" s="77">
        <v>43662</v>
      </c>
      <c r="D51" s="5">
        <v>79</v>
      </c>
      <c r="E51" s="78">
        <v>15565.07</v>
      </c>
      <c r="F51" s="78">
        <v>6305.81</v>
      </c>
      <c r="G51" s="78">
        <v>9259.26</v>
      </c>
    </row>
    <row r="52" spans="1:7" x14ac:dyDescent="0.2">
      <c r="B52" s="5" t="s">
        <v>103</v>
      </c>
      <c r="C52" s="77">
        <v>43691</v>
      </c>
      <c r="D52" s="5">
        <v>78</v>
      </c>
      <c r="E52" s="78">
        <v>15278.119999999999</v>
      </c>
      <c r="F52" s="78">
        <v>6018.86</v>
      </c>
      <c r="G52" s="78">
        <v>9259.26</v>
      </c>
    </row>
    <row r="53" spans="1:7" x14ac:dyDescent="0.2">
      <c r="B53" s="5" t="s">
        <v>104</v>
      </c>
      <c r="C53" s="77">
        <v>43722</v>
      </c>
      <c r="D53" s="5">
        <v>77</v>
      </c>
      <c r="E53" s="78">
        <v>15405.67</v>
      </c>
      <c r="F53" s="78">
        <v>6146.41</v>
      </c>
      <c r="G53" s="78">
        <v>9259.26</v>
      </c>
    </row>
    <row r="54" spans="1:7" x14ac:dyDescent="0.2">
      <c r="B54" s="5" t="s">
        <v>105</v>
      </c>
      <c r="C54" s="77">
        <v>43753</v>
      </c>
      <c r="D54" s="5">
        <v>76</v>
      </c>
      <c r="E54" s="78">
        <v>14921.6</v>
      </c>
      <c r="F54" s="78">
        <v>5662.34</v>
      </c>
      <c r="G54" s="78">
        <v>9259.26</v>
      </c>
    </row>
    <row r="55" spans="1:7" x14ac:dyDescent="0.2">
      <c r="B55" s="5" t="s">
        <v>106</v>
      </c>
      <c r="C55" s="77">
        <v>43784</v>
      </c>
      <c r="D55" s="5">
        <v>75</v>
      </c>
      <c r="E55" s="78">
        <v>15046.220000000001</v>
      </c>
      <c r="F55" s="78">
        <v>5786.96</v>
      </c>
      <c r="G55" s="78">
        <v>9259.26</v>
      </c>
    </row>
    <row r="56" spans="1:7" x14ac:dyDescent="0.2">
      <c r="B56" s="5" t="s">
        <v>107</v>
      </c>
      <c r="C56" s="77">
        <v>43813</v>
      </c>
      <c r="D56" s="5">
        <v>74</v>
      </c>
      <c r="E56" s="78">
        <v>14968.85</v>
      </c>
      <c r="F56" s="78">
        <v>5709.59</v>
      </c>
      <c r="G56" s="78">
        <v>9259.26</v>
      </c>
    </row>
    <row r="57" spans="1:7" x14ac:dyDescent="0.2">
      <c r="A57" s="5" t="s">
        <v>96</v>
      </c>
      <c r="B57" s="5"/>
      <c r="C57" s="5"/>
      <c r="D57" s="5"/>
      <c r="E57" s="78">
        <v>184501.85000000003</v>
      </c>
      <c r="F57" s="78">
        <v>73390.73</v>
      </c>
      <c r="G57" s="78">
        <v>111111.11999999998</v>
      </c>
    </row>
    <row r="58" spans="1:7" x14ac:dyDescent="0.2">
      <c r="A58" s="5" t="s">
        <v>52</v>
      </c>
      <c r="B58" s="5" t="s">
        <v>108</v>
      </c>
      <c r="C58" s="77">
        <v>43844</v>
      </c>
      <c r="D58" s="5">
        <v>73</v>
      </c>
      <c r="E58" s="78">
        <v>14503.53</v>
      </c>
      <c r="F58" s="78">
        <v>5244.27</v>
      </c>
      <c r="G58" s="78">
        <v>9259.26</v>
      </c>
    </row>
    <row r="59" spans="1:7" x14ac:dyDescent="0.2">
      <c r="B59" s="5" t="s">
        <v>110</v>
      </c>
      <c r="C59" s="77">
        <v>43875</v>
      </c>
      <c r="D59" s="5">
        <v>72</v>
      </c>
      <c r="E59" s="78">
        <v>14814.380000000001</v>
      </c>
      <c r="F59" s="78">
        <v>5555.12</v>
      </c>
      <c r="G59" s="78">
        <v>9259.26</v>
      </c>
    </row>
    <row r="60" spans="1:7" x14ac:dyDescent="0.2">
      <c r="B60" s="5" t="s">
        <v>111</v>
      </c>
      <c r="C60" s="77">
        <v>43904</v>
      </c>
      <c r="D60" s="5">
        <v>71</v>
      </c>
      <c r="E60" s="78">
        <v>14737.3</v>
      </c>
      <c r="F60" s="78">
        <v>5478.04</v>
      </c>
      <c r="G60" s="78">
        <v>9259.26</v>
      </c>
    </row>
    <row r="61" spans="1:7" x14ac:dyDescent="0.2">
      <c r="B61" s="5" t="s">
        <v>112</v>
      </c>
      <c r="C61" s="77">
        <v>43935</v>
      </c>
      <c r="D61" s="5">
        <v>70</v>
      </c>
      <c r="E61" s="78">
        <v>14474.17</v>
      </c>
      <c r="F61" s="78">
        <v>5214.91</v>
      </c>
      <c r="G61" s="78">
        <v>9259.26</v>
      </c>
    </row>
    <row r="62" spans="1:7" x14ac:dyDescent="0.2">
      <c r="B62" s="5" t="s">
        <v>113</v>
      </c>
      <c r="C62" s="77">
        <v>43965</v>
      </c>
      <c r="D62" s="5">
        <v>69</v>
      </c>
      <c r="E62" s="78">
        <v>14583.16</v>
      </c>
      <c r="F62" s="78">
        <v>5323.9</v>
      </c>
      <c r="G62" s="78">
        <v>9259.26</v>
      </c>
    </row>
    <row r="63" spans="1:7" x14ac:dyDescent="0.2">
      <c r="B63" s="5" t="s">
        <v>114</v>
      </c>
      <c r="C63" s="77">
        <v>43998</v>
      </c>
      <c r="D63" s="5">
        <v>68</v>
      </c>
      <c r="E63" s="78">
        <v>14686.85</v>
      </c>
      <c r="F63" s="78">
        <v>5427.59</v>
      </c>
      <c r="G63" s="78">
        <v>9259.26</v>
      </c>
    </row>
    <row r="64" spans="1:7" x14ac:dyDescent="0.2">
      <c r="B64" s="5" t="s">
        <v>115</v>
      </c>
      <c r="C64" s="77">
        <v>44026</v>
      </c>
      <c r="D64" s="5">
        <v>67</v>
      </c>
      <c r="E64" s="78">
        <v>14250.82</v>
      </c>
      <c r="F64" s="78">
        <v>4991.5600000000004</v>
      </c>
      <c r="G64" s="78">
        <v>9259.26</v>
      </c>
    </row>
    <row r="65" spans="1:7" x14ac:dyDescent="0.2">
      <c r="B65" s="5" t="s">
        <v>116</v>
      </c>
      <c r="C65" s="77">
        <v>44057</v>
      </c>
      <c r="D65" s="5">
        <v>66</v>
      </c>
      <c r="E65" s="78">
        <v>14702.74</v>
      </c>
      <c r="F65" s="78">
        <v>5443.48</v>
      </c>
      <c r="G65" s="78">
        <v>9259.26</v>
      </c>
    </row>
    <row r="66" spans="1:7" x14ac:dyDescent="0.2">
      <c r="B66" s="5" t="s">
        <v>117</v>
      </c>
      <c r="C66" s="77">
        <v>44089</v>
      </c>
      <c r="D66" s="5">
        <v>65</v>
      </c>
      <c r="E66" s="78">
        <v>14447.36</v>
      </c>
      <c r="F66" s="78">
        <v>5188.1000000000004</v>
      </c>
      <c r="G66" s="78">
        <v>9259.26</v>
      </c>
    </row>
    <row r="67" spans="1:7" x14ac:dyDescent="0.2">
      <c r="B67" s="5" t="s">
        <v>118</v>
      </c>
      <c r="C67" s="77">
        <v>44118</v>
      </c>
      <c r="D67" s="5">
        <v>64</v>
      </c>
      <c r="E67" s="78">
        <v>14197.35</v>
      </c>
      <c r="F67" s="78">
        <v>4938.09</v>
      </c>
      <c r="G67" s="78">
        <v>9259.26</v>
      </c>
    </row>
    <row r="68" spans="1:7" x14ac:dyDescent="0.2">
      <c r="B68" s="5" t="s">
        <v>119</v>
      </c>
      <c r="C68" s="77">
        <v>44152</v>
      </c>
      <c r="D68" s="5">
        <v>63</v>
      </c>
      <c r="E68" s="78">
        <v>14455.220000000001</v>
      </c>
      <c r="F68" s="78">
        <v>5195.96</v>
      </c>
      <c r="G68" s="78">
        <v>9259.26</v>
      </c>
    </row>
    <row r="69" spans="1:7" x14ac:dyDescent="0.2">
      <c r="B69" s="5" t="s">
        <v>120</v>
      </c>
      <c r="C69" s="77">
        <v>44180</v>
      </c>
      <c r="D69" s="5">
        <v>62</v>
      </c>
      <c r="E69" s="78">
        <v>13878.2</v>
      </c>
      <c r="F69" s="78">
        <v>4618.9399999999996</v>
      </c>
      <c r="G69" s="78">
        <v>9259.26</v>
      </c>
    </row>
    <row r="70" spans="1:7" x14ac:dyDescent="0.2">
      <c r="A70" s="5" t="s">
        <v>109</v>
      </c>
      <c r="B70" s="5"/>
      <c r="C70" s="5"/>
      <c r="D70" s="5"/>
      <c r="E70" s="78">
        <v>173731.08000000005</v>
      </c>
      <c r="F70" s="78">
        <v>62619.96</v>
      </c>
      <c r="G70" s="78">
        <v>111111.11999999998</v>
      </c>
    </row>
    <row r="71" spans="1:7" x14ac:dyDescent="0.2">
      <c r="A71" s="5" t="s">
        <v>53</v>
      </c>
      <c r="B71" s="5" t="s">
        <v>121</v>
      </c>
      <c r="C71" s="77">
        <v>44210</v>
      </c>
      <c r="D71" s="5">
        <v>61</v>
      </c>
      <c r="E71" s="78">
        <v>13803.71</v>
      </c>
      <c r="F71" s="78">
        <v>4544.45</v>
      </c>
      <c r="G71" s="78">
        <v>9259.26</v>
      </c>
    </row>
    <row r="72" spans="1:7" x14ac:dyDescent="0.2">
      <c r="B72" s="5" t="s">
        <v>123</v>
      </c>
      <c r="C72" s="77">
        <v>44243</v>
      </c>
      <c r="D72" s="5">
        <v>60</v>
      </c>
      <c r="E72" s="78">
        <v>14207.8</v>
      </c>
      <c r="F72" s="78">
        <v>4948.54</v>
      </c>
      <c r="G72" s="78">
        <v>9259.26</v>
      </c>
    </row>
    <row r="73" spans="1:7" x14ac:dyDescent="0.2">
      <c r="B73" s="5" t="s">
        <v>124</v>
      </c>
      <c r="C73" s="77">
        <v>44271</v>
      </c>
      <c r="D73" s="5">
        <v>59</v>
      </c>
      <c r="E73" s="78">
        <v>13341.23</v>
      </c>
      <c r="F73" s="78">
        <v>4081.97</v>
      </c>
      <c r="G73" s="78">
        <v>9259.26</v>
      </c>
    </row>
    <row r="74" spans="1:7" x14ac:dyDescent="0.2">
      <c r="B74" s="5" t="s">
        <v>125</v>
      </c>
      <c r="C74" s="77">
        <v>44300</v>
      </c>
      <c r="D74" s="5">
        <v>58</v>
      </c>
      <c r="E74" s="78">
        <v>13734.41</v>
      </c>
      <c r="F74" s="78">
        <v>4475.1499999999996</v>
      </c>
      <c r="G74" s="78">
        <v>9259.26</v>
      </c>
    </row>
    <row r="75" spans="1:7" x14ac:dyDescent="0.2">
      <c r="B75" s="5" t="s">
        <v>126</v>
      </c>
      <c r="C75" s="77">
        <v>44330</v>
      </c>
      <c r="D75" s="5">
        <v>57</v>
      </c>
      <c r="E75" s="78">
        <v>13354.29</v>
      </c>
      <c r="F75" s="78">
        <v>4095.03</v>
      </c>
      <c r="G75" s="78">
        <v>9259.26</v>
      </c>
    </row>
    <row r="76" spans="1:7" x14ac:dyDescent="0.2">
      <c r="B76" s="5" t="s">
        <v>150</v>
      </c>
      <c r="C76" s="77">
        <v>44362</v>
      </c>
      <c r="D76" s="5">
        <v>56</v>
      </c>
      <c r="E76" s="78">
        <v>13728.99</v>
      </c>
      <c r="F76" s="78">
        <v>4469.7299999999996</v>
      </c>
      <c r="G76" s="78">
        <v>9259.26</v>
      </c>
    </row>
    <row r="77" spans="1:7" x14ac:dyDescent="0.2">
      <c r="B77" s="5" t="s">
        <v>151</v>
      </c>
      <c r="C77" s="77">
        <v>44391</v>
      </c>
      <c r="D77" s="5">
        <v>55</v>
      </c>
      <c r="E77" s="78">
        <v>13356.75</v>
      </c>
      <c r="F77" s="78">
        <v>4097.49</v>
      </c>
      <c r="G77" s="78">
        <v>9259.26</v>
      </c>
    </row>
    <row r="78" spans="1:7" x14ac:dyDescent="0.2">
      <c r="B78" s="5" t="s">
        <v>152</v>
      </c>
      <c r="C78" s="77">
        <v>44422</v>
      </c>
      <c r="D78" s="5">
        <v>54</v>
      </c>
      <c r="E78" s="78">
        <v>13712.96</v>
      </c>
      <c r="F78" s="78">
        <v>4453.7</v>
      </c>
      <c r="G78" s="78">
        <v>9259.26</v>
      </c>
    </row>
    <row r="79" spans="1:7" x14ac:dyDescent="0.2">
      <c r="B79" s="5" t="s">
        <v>153</v>
      </c>
      <c r="C79" s="77">
        <v>44453</v>
      </c>
      <c r="D79" s="5">
        <v>53</v>
      </c>
      <c r="E79" s="78">
        <v>13348.61</v>
      </c>
      <c r="F79" s="78">
        <v>4089.35</v>
      </c>
      <c r="G79" s="78">
        <v>9259.26</v>
      </c>
    </row>
    <row r="80" spans="1:7" x14ac:dyDescent="0.2">
      <c r="B80" s="5" t="s">
        <v>154</v>
      </c>
      <c r="C80" s="77">
        <v>44483</v>
      </c>
      <c r="D80" s="5">
        <v>52</v>
      </c>
      <c r="E80" s="78">
        <v>13409.71</v>
      </c>
      <c r="F80" s="78">
        <v>4150.45</v>
      </c>
      <c r="G80" s="78">
        <v>9259.26</v>
      </c>
    </row>
    <row r="81" spans="1:7" x14ac:dyDescent="0.2">
      <c r="B81" s="5" t="s">
        <v>155</v>
      </c>
      <c r="C81" s="77">
        <v>44516</v>
      </c>
      <c r="D81" s="5">
        <v>51</v>
      </c>
      <c r="E81" s="78">
        <v>13465.53</v>
      </c>
      <c r="F81" s="78">
        <v>4206.2700000000004</v>
      </c>
      <c r="G81" s="78">
        <v>9259.26</v>
      </c>
    </row>
    <row r="82" spans="1:7" x14ac:dyDescent="0.2">
      <c r="B82" s="5" t="s">
        <v>156</v>
      </c>
      <c r="C82" s="77">
        <v>44544</v>
      </c>
      <c r="D82" s="5">
        <v>50</v>
      </c>
      <c r="E82" s="78">
        <v>12984.24</v>
      </c>
      <c r="F82" s="78">
        <v>3724.98</v>
      </c>
      <c r="G82" s="78">
        <v>9259.26</v>
      </c>
    </row>
    <row r="83" spans="1:7" x14ac:dyDescent="0.2">
      <c r="A83" s="5" t="s">
        <v>122</v>
      </c>
      <c r="B83" s="5"/>
      <c r="C83" s="5"/>
      <c r="D83" s="5"/>
      <c r="E83" s="78">
        <v>162448.23000000001</v>
      </c>
      <c r="F83" s="78">
        <v>51337.109999999993</v>
      </c>
      <c r="G83" s="78">
        <v>111111.11999999998</v>
      </c>
    </row>
    <row r="84" spans="1:7" x14ac:dyDescent="0.2">
      <c r="A84" s="5" t="s">
        <v>172</v>
      </c>
      <c r="B84" s="5" t="s">
        <v>173</v>
      </c>
      <c r="C84" s="77">
        <v>44575</v>
      </c>
      <c r="D84" s="5">
        <v>49</v>
      </c>
      <c r="E84" s="78">
        <v>13039.98</v>
      </c>
      <c r="F84" s="78">
        <v>3780.72</v>
      </c>
      <c r="G84" s="78">
        <v>9259.26</v>
      </c>
    </row>
    <row r="85" spans="1:7" x14ac:dyDescent="0.2">
      <c r="B85" s="5" t="s">
        <v>174</v>
      </c>
      <c r="C85" s="77">
        <v>44609</v>
      </c>
      <c r="D85" s="5">
        <v>48</v>
      </c>
      <c r="E85" s="78">
        <v>13090.45</v>
      </c>
      <c r="F85" s="78">
        <v>3831.19</v>
      </c>
      <c r="G85" s="78">
        <v>9259.26</v>
      </c>
    </row>
    <row r="86" spans="1:7" x14ac:dyDescent="0.2">
      <c r="B86" s="5" t="s">
        <v>175</v>
      </c>
      <c r="C86" s="77">
        <v>44635</v>
      </c>
      <c r="D86" s="5">
        <v>47</v>
      </c>
      <c r="E86" s="78">
        <v>12511</v>
      </c>
      <c r="F86" s="78">
        <v>3251.74</v>
      </c>
      <c r="G86" s="78">
        <v>9259.26</v>
      </c>
    </row>
    <row r="87" spans="1:7" x14ac:dyDescent="0.2">
      <c r="B87" s="5" t="s">
        <v>176</v>
      </c>
      <c r="C87" s="77">
        <v>44665</v>
      </c>
      <c r="D87" s="5">
        <v>46</v>
      </c>
      <c r="E87" s="78">
        <v>12808.51</v>
      </c>
      <c r="F87" s="78">
        <v>3549.25</v>
      </c>
      <c r="G87" s="78">
        <v>9259.26</v>
      </c>
    </row>
    <row r="88" spans="1:7" x14ac:dyDescent="0.2">
      <c r="B88" s="5" t="s">
        <v>177</v>
      </c>
      <c r="C88" s="77">
        <v>44695</v>
      </c>
      <c r="D88" s="5">
        <v>45</v>
      </c>
      <c r="E88" s="78">
        <v>12611.75</v>
      </c>
      <c r="F88" s="78">
        <v>3352.49</v>
      </c>
      <c r="G88" s="78">
        <v>9259.26</v>
      </c>
    </row>
    <row r="89" spans="1:7" x14ac:dyDescent="0.2">
      <c r="B89" s="5" t="s">
        <v>178</v>
      </c>
      <c r="C89" s="77">
        <v>44726</v>
      </c>
      <c r="D89" s="5">
        <v>44</v>
      </c>
      <c r="E89" s="78">
        <v>12537.25</v>
      </c>
      <c r="F89" s="78">
        <v>3277.99</v>
      </c>
      <c r="G89" s="78">
        <v>9259.26</v>
      </c>
    </row>
    <row r="90" spans="1:7" x14ac:dyDescent="0.2">
      <c r="B90" s="5" t="s">
        <v>179</v>
      </c>
      <c r="C90" s="77">
        <v>44756</v>
      </c>
      <c r="D90" s="5">
        <v>43</v>
      </c>
      <c r="E90" s="78">
        <v>12691.37</v>
      </c>
      <c r="F90" s="78">
        <v>3432.11</v>
      </c>
      <c r="G90" s="78">
        <v>9259.26</v>
      </c>
    </row>
    <row r="91" spans="1:7" x14ac:dyDescent="0.2">
      <c r="B91" s="5" t="s">
        <v>180</v>
      </c>
      <c r="C91" s="77">
        <v>44789</v>
      </c>
      <c r="D91" s="5">
        <v>42</v>
      </c>
      <c r="E91" s="78">
        <v>12723.25</v>
      </c>
      <c r="F91" s="78">
        <v>3463.99</v>
      </c>
      <c r="G91" s="78">
        <v>9259.26</v>
      </c>
    </row>
    <row r="92" spans="1:7" x14ac:dyDescent="0.2">
      <c r="B92" s="5" t="s">
        <v>181</v>
      </c>
      <c r="C92" s="77">
        <v>44818</v>
      </c>
      <c r="D92" s="5">
        <v>41</v>
      </c>
      <c r="E92" s="78">
        <v>12313.75</v>
      </c>
      <c r="F92" s="78">
        <v>3054.49</v>
      </c>
      <c r="G92" s="78">
        <v>9259.26</v>
      </c>
    </row>
    <row r="93" spans="1:7" x14ac:dyDescent="0.2">
      <c r="B93" s="5" t="s">
        <v>182</v>
      </c>
      <c r="C93" s="77">
        <v>44848</v>
      </c>
      <c r="D93" s="5">
        <v>40</v>
      </c>
      <c r="E93" s="78">
        <v>12345.57</v>
      </c>
      <c r="F93" s="78">
        <v>3086.31</v>
      </c>
      <c r="G93" s="78">
        <v>9259.26</v>
      </c>
    </row>
    <row r="94" spans="1:7" x14ac:dyDescent="0.2">
      <c r="B94" s="5" t="s">
        <v>183</v>
      </c>
      <c r="C94" s="77">
        <v>44880</v>
      </c>
      <c r="D94" s="5">
        <v>39</v>
      </c>
      <c r="E94" s="78">
        <v>12268.41</v>
      </c>
      <c r="F94" s="78">
        <v>3009.15</v>
      </c>
      <c r="G94" s="78">
        <v>9259.26</v>
      </c>
    </row>
    <row r="95" spans="1:7" x14ac:dyDescent="0.2">
      <c r="B95" s="5" t="s">
        <v>184</v>
      </c>
      <c r="C95" s="77">
        <v>44909</v>
      </c>
      <c r="D95" s="5">
        <v>38</v>
      </c>
      <c r="E95" s="78">
        <v>12191.25</v>
      </c>
      <c r="F95" s="78">
        <v>2931.99</v>
      </c>
      <c r="G95" s="78">
        <v>9259.26</v>
      </c>
    </row>
    <row r="96" spans="1:7" x14ac:dyDescent="0.2">
      <c r="A96" s="5" t="s">
        <v>185</v>
      </c>
      <c r="B96" s="5"/>
      <c r="C96" s="5"/>
      <c r="D96" s="5"/>
      <c r="E96" s="78">
        <v>151132.54</v>
      </c>
      <c r="F96" s="78">
        <v>40021.419999999991</v>
      </c>
      <c r="G96" s="78">
        <v>111111.11999999998</v>
      </c>
    </row>
    <row r="97" spans="1:7" x14ac:dyDescent="0.2">
      <c r="A97" s="5" t="s">
        <v>186</v>
      </c>
      <c r="B97" s="5" t="s">
        <v>187</v>
      </c>
      <c r="C97" s="77">
        <v>44940</v>
      </c>
      <c r="D97" s="5">
        <v>37</v>
      </c>
      <c r="E97" s="78">
        <v>12114.09</v>
      </c>
      <c r="F97" s="78">
        <v>2854.83</v>
      </c>
      <c r="G97" s="78">
        <v>9259.26</v>
      </c>
    </row>
    <row r="98" spans="1:7" x14ac:dyDescent="0.2">
      <c r="B98" s="5" t="s">
        <v>188</v>
      </c>
      <c r="C98" s="77">
        <v>44971</v>
      </c>
      <c r="D98" s="5">
        <v>36</v>
      </c>
      <c r="E98" s="78">
        <v>11845.59</v>
      </c>
      <c r="F98" s="78">
        <v>2586.33</v>
      </c>
      <c r="G98" s="78">
        <v>9259.26</v>
      </c>
    </row>
    <row r="99" spans="1:7" x14ac:dyDescent="0.2">
      <c r="B99" s="5" t="s">
        <v>189</v>
      </c>
      <c r="C99" s="77">
        <v>44999</v>
      </c>
      <c r="D99" s="5">
        <v>35</v>
      </c>
      <c r="E99" s="78">
        <v>11866.75</v>
      </c>
      <c r="F99" s="78">
        <v>2607.4899999999998</v>
      </c>
      <c r="G99" s="78">
        <v>9259.26</v>
      </c>
    </row>
    <row r="100" spans="1:7" x14ac:dyDescent="0.2">
      <c r="B100" s="5" t="s">
        <v>190</v>
      </c>
      <c r="C100" s="77">
        <v>45030</v>
      </c>
      <c r="D100" s="5">
        <v>34</v>
      </c>
      <c r="E100" s="78">
        <v>11973.02</v>
      </c>
      <c r="F100" s="78">
        <v>2713.76</v>
      </c>
      <c r="G100" s="78">
        <v>9259.26</v>
      </c>
    </row>
    <row r="101" spans="1:7" x14ac:dyDescent="0.2">
      <c r="B101" s="5" t="s">
        <v>191</v>
      </c>
      <c r="C101" s="77">
        <v>45062</v>
      </c>
      <c r="D101" s="5">
        <v>33</v>
      </c>
      <c r="E101" s="78">
        <v>11805.46</v>
      </c>
      <c r="F101" s="78">
        <v>2546.1999999999998</v>
      </c>
      <c r="G101" s="78">
        <v>9259.26</v>
      </c>
    </row>
    <row r="102" spans="1:7" x14ac:dyDescent="0.2">
      <c r="B102" s="5" t="s">
        <v>192</v>
      </c>
      <c r="C102" s="77">
        <v>45091</v>
      </c>
      <c r="D102" s="5">
        <v>32</v>
      </c>
      <c r="E102" s="78">
        <v>11643.25</v>
      </c>
      <c r="F102" s="78">
        <v>2383.9899999999998</v>
      </c>
      <c r="G102" s="78">
        <v>9259.26</v>
      </c>
    </row>
    <row r="103" spans="1:7" x14ac:dyDescent="0.2">
      <c r="B103" s="5" t="s">
        <v>193</v>
      </c>
      <c r="C103" s="77">
        <v>45121</v>
      </c>
      <c r="D103" s="5">
        <v>31</v>
      </c>
      <c r="E103" s="78">
        <v>11733.57</v>
      </c>
      <c r="F103" s="78">
        <v>2474.31</v>
      </c>
      <c r="G103" s="78">
        <v>9259.26</v>
      </c>
    </row>
    <row r="104" spans="1:7" x14ac:dyDescent="0.2">
      <c r="B104" s="5" t="s">
        <v>194</v>
      </c>
      <c r="C104" s="77">
        <v>45153</v>
      </c>
      <c r="D104" s="5">
        <v>30</v>
      </c>
      <c r="E104" s="78">
        <v>11653.75</v>
      </c>
      <c r="F104" s="78">
        <v>2394.4899999999998</v>
      </c>
      <c r="G104" s="78">
        <v>9259.26</v>
      </c>
    </row>
    <row r="105" spans="1:7" x14ac:dyDescent="0.2">
      <c r="B105" s="5" t="s">
        <v>195</v>
      </c>
      <c r="C105" s="77">
        <v>45183</v>
      </c>
      <c r="D105" s="5">
        <v>29</v>
      </c>
      <c r="E105" s="78">
        <v>11496.83</v>
      </c>
      <c r="F105" s="78">
        <v>2237.5700000000002</v>
      </c>
      <c r="G105" s="78">
        <v>9259.26</v>
      </c>
    </row>
    <row r="106" spans="1:7" x14ac:dyDescent="0.2">
      <c r="B106" s="5" t="s">
        <v>196</v>
      </c>
      <c r="C106" s="77">
        <v>45213</v>
      </c>
      <c r="D106" s="5">
        <v>28</v>
      </c>
      <c r="E106" s="78">
        <v>11419.67</v>
      </c>
      <c r="F106" s="78">
        <v>2160.41</v>
      </c>
      <c r="G106" s="78">
        <v>9259.26</v>
      </c>
    </row>
    <row r="107" spans="1:7" x14ac:dyDescent="0.2">
      <c r="B107" s="5" t="s">
        <v>197</v>
      </c>
      <c r="C107" s="77">
        <v>45245</v>
      </c>
      <c r="D107" s="5">
        <v>27</v>
      </c>
      <c r="E107" s="78">
        <v>11270.75</v>
      </c>
      <c r="F107" s="78">
        <v>2011.49</v>
      </c>
      <c r="G107" s="78">
        <v>9259.26</v>
      </c>
    </row>
    <row r="108" spans="1:7" x14ac:dyDescent="0.2">
      <c r="B108" s="5" t="s">
        <v>198</v>
      </c>
      <c r="C108" s="77">
        <v>45274</v>
      </c>
      <c r="D108" s="5">
        <v>26</v>
      </c>
      <c r="E108" s="78">
        <v>11265.36</v>
      </c>
      <c r="F108" s="78">
        <v>2006.1</v>
      </c>
      <c r="G108" s="78">
        <v>9259.26</v>
      </c>
    </row>
    <row r="109" spans="1:7" x14ac:dyDescent="0.2">
      <c r="A109" s="5" t="s">
        <v>199</v>
      </c>
      <c r="B109" s="5"/>
      <c r="C109" s="5"/>
      <c r="D109" s="5"/>
      <c r="E109" s="78">
        <v>140088.09000000003</v>
      </c>
      <c r="F109" s="78">
        <v>28976.97</v>
      </c>
      <c r="G109" s="78">
        <v>111111.11999999998</v>
      </c>
    </row>
    <row r="110" spans="1:7" x14ac:dyDescent="0.2">
      <c r="A110" s="5" t="s">
        <v>200</v>
      </c>
      <c r="B110" s="5" t="s">
        <v>201</v>
      </c>
      <c r="C110" s="77">
        <v>45307</v>
      </c>
      <c r="D110" s="5">
        <v>25</v>
      </c>
      <c r="E110" s="78">
        <v>11321.16</v>
      </c>
      <c r="F110" s="78">
        <v>2061.9</v>
      </c>
      <c r="G110" s="78">
        <v>9259.26</v>
      </c>
    </row>
    <row r="111" spans="1:7" x14ac:dyDescent="0.2">
      <c r="B111" s="5" t="s">
        <v>202</v>
      </c>
      <c r="C111" s="77">
        <v>45336</v>
      </c>
      <c r="D111" s="5">
        <v>24</v>
      </c>
      <c r="E111" s="78">
        <v>11111.04</v>
      </c>
      <c r="F111" s="78">
        <v>1851.78</v>
      </c>
      <c r="G111" s="78">
        <v>9259.26</v>
      </c>
    </row>
    <row r="112" spans="1:7" x14ac:dyDescent="0.2">
      <c r="B112" s="5" t="s">
        <v>203</v>
      </c>
      <c r="C112" s="77">
        <v>45365</v>
      </c>
      <c r="D112" s="5">
        <v>23</v>
      </c>
      <c r="E112" s="78">
        <v>10911.630000000001</v>
      </c>
      <c r="F112" s="78">
        <v>1652.37</v>
      </c>
      <c r="G112" s="78">
        <v>9259.26</v>
      </c>
    </row>
    <row r="113" spans="1:7" x14ac:dyDescent="0.2">
      <c r="B113" s="5" t="s">
        <v>204</v>
      </c>
      <c r="C113" s="77">
        <v>45398</v>
      </c>
      <c r="D113" s="5">
        <v>22</v>
      </c>
      <c r="E113" s="78">
        <v>11015.220000000001</v>
      </c>
      <c r="F113" s="78">
        <v>1755.96</v>
      </c>
      <c r="G113" s="78">
        <v>9259.26</v>
      </c>
    </row>
    <row r="114" spans="1:7" x14ac:dyDescent="0.2">
      <c r="B114" s="5" t="s">
        <v>205</v>
      </c>
      <c r="C114" s="77">
        <v>45426</v>
      </c>
      <c r="D114" s="5">
        <v>21</v>
      </c>
      <c r="E114" s="78">
        <v>10712.16</v>
      </c>
      <c r="F114" s="78">
        <v>1452.9</v>
      </c>
      <c r="G114" s="78">
        <v>9259.26</v>
      </c>
    </row>
    <row r="115" spans="1:7" x14ac:dyDescent="0.2">
      <c r="B115" s="5" t="s">
        <v>206</v>
      </c>
      <c r="C115" s="77">
        <v>45458</v>
      </c>
      <c r="D115" s="5">
        <v>20</v>
      </c>
      <c r="E115" s="78">
        <v>10908.78</v>
      </c>
      <c r="F115" s="78">
        <v>1649.52</v>
      </c>
      <c r="G115" s="78">
        <v>9259.26</v>
      </c>
    </row>
    <row r="116" spans="1:7" x14ac:dyDescent="0.2">
      <c r="B116" s="5" t="s">
        <v>207</v>
      </c>
      <c r="C116" s="77">
        <v>45489</v>
      </c>
      <c r="D116" s="5">
        <v>19</v>
      </c>
      <c r="E116" s="78">
        <v>10725.26</v>
      </c>
      <c r="F116" s="78">
        <v>1466</v>
      </c>
      <c r="G116" s="78">
        <v>9259.26</v>
      </c>
    </row>
    <row r="117" spans="1:7" x14ac:dyDescent="0.2">
      <c r="B117" s="5" t="s">
        <v>208</v>
      </c>
      <c r="C117" s="77">
        <v>45518</v>
      </c>
      <c r="D117" s="5">
        <v>18</v>
      </c>
      <c r="E117" s="78">
        <v>10648.1</v>
      </c>
      <c r="F117" s="78">
        <v>1388.84</v>
      </c>
      <c r="G117" s="78">
        <v>9259.26</v>
      </c>
    </row>
    <row r="118" spans="1:7" x14ac:dyDescent="0.2">
      <c r="B118" s="5" t="s">
        <v>209</v>
      </c>
      <c r="C118" s="77">
        <v>45549</v>
      </c>
      <c r="D118" s="5">
        <v>17</v>
      </c>
      <c r="E118" s="78">
        <v>10616.14</v>
      </c>
      <c r="F118" s="78">
        <v>1356.88</v>
      </c>
      <c r="G118" s="78">
        <v>9259.26</v>
      </c>
    </row>
    <row r="119" spans="1:7" x14ac:dyDescent="0.2">
      <c r="B119" s="5" t="s">
        <v>210</v>
      </c>
      <c r="C119" s="77">
        <v>45580</v>
      </c>
      <c r="D119" s="5">
        <v>16</v>
      </c>
      <c r="E119" s="78">
        <v>10451.24</v>
      </c>
      <c r="F119" s="78">
        <v>1191.99</v>
      </c>
      <c r="G119" s="78">
        <v>9259.25</v>
      </c>
    </row>
    <row r="120" spans="1:7" x14ac:dyDescent="0.2">
      <c r="B120" s="5" t="s">
        <v>211</v>
      </c>
      <c r="C120" s="77">
        <v>45611</v>
      </c>
      <c r="D120" s="5">
        <v>15</v>
      </c>
      <c r="E120" s="78">
        <v>10416.620000000001</v>
      </c>
      <c r="F120" s="78">
        <v>1157.3599999999999</v>
      </c>
      <c r="G120" s="78">
        <v>9259.26</v>
      </c>
    </row>
    <row r="121" spans="1:7" x14ac:dyDescent="0.2">
      <c r="B121" s="5" t="s">
        <v>212</v>
      </c>
      <c r="C121" s="77">
        <v>45640</v>
      </c>
      <c r="D121" s="5">
        <v>14</v>
      </c>
      <c r="E121" s="78">
        <v>10339.459999999999</v>
      </c>
      <c r="F121" s="78">
        <v>1080.21</v>
      </c>
      <c r="G121" s="78">
        <v>9259.25</v>
      </c>
    </row>
    <row r="122" spans="1:7" x14ac:dyDescent="0.2">
      <c r="A122" s="5" t="s">
        <v>213</v>
      </c>
      <c r="B122" s="5"/>
      <c r="C122" s="5"/>
      <c r="D122" s="5"/>
      <c r="E122" s="78">
        <v>129176.81</v>
      </c>
      <c r="F122" s="78">
        <v>18065.71</v>
      </c>
      <c r="G122" s="78">
        <v>111111.09999999999</v>
      </c>
    </row>
    <row r="123" spans="1:7" x14ac:dyDescent="0.2">
      <c r="A123" s="5" t="s">
        <v>214</v>
      </c>
      <c r="B123" s="5" t="s">
        <v>215</v>
      </c>
      <c r="C123" s="77">
        <v>45671</v>
      </c>
      <c r="D123" s="5">
        <v>13</v>
      </c>
      <c r="E123" s="78">
        <v>10193.210000000001</v>
      </c>
      <c r="F123" s="78">
        <v>933.95</v>
      </c>
      <c r="G123" s="78">
        <v>9259.26</v>
      </c>
    </row>
    <row r="124" spans="1:7" x14ac:dyDescent="0.2">
      <c r="B124" s="5" t="s">
        <v>216</v>
      </c>
      <c r="C124" s="77">
        <v>45702</v>
      </c>
      <c r="D124" s="5">
        <v>12</v>
      </c>
      <c r="E124" s="78">
        <v>10185.14</v>
      </c>
      <c r="F124" s="78">
        <v>925.89</v>
      </c>
      <c r="G124" s="78">
        <v>9259.25</v>
      </c>
    </row>
    <row r="125" spans="1:7" x14ac:dyDescent="0.2">
      <c r="B125" s="5" t="s">
        <v>217</v>
      </c>
      <c r="C125" s="77">
        <v>45730</v>
      </c>
      <c r="D125" s="5">
        <v>11</v>
      </c>
      <c r="E125" s="78">
        <v>10078.76</v>
      </c>
      <c r="F125" s="78">
        <v>819.5</v>
      </c>
      <c r="G125" s="78">
        <v>9259.26</v>
      </c>
    </row>
    <row r="126" spans="1:7" x14ac:dyDescent="0.2">
      <c r="B126" s="5" t="s">
        <v>218</v>
      </c>
      <c r="C126" s="77">
        <v>45762</v>
      </c>
      <c r="D126" s="5">
        <v>10</v>
      </c>
      <c r="E126" s="78">
        <v>10030.83</v>
      </c>
      <c r="F126" s="78">
        <v>771.58</v>
      </c>
      <c r="G126" s="78">
        <v>9259.25</v>
      </c>
    </row>
    <row r="127" spans="1:7" x14ac:dyDescent="0.2">
      <c r="B127" s="5" t="s">
        <v>219</v>
      </c>
      <c r="C127" s="77">
        <v>45791</v>
      </c>
      <c r="D127" s="5">
        <v>9</v>
      </c>
      <c r="E127" s="78">
        <v>9929.76</v>
      </c>
      <c r="F127" s="78">
        <v>670.5</v>
      </c>
      <c r="G127" s="78">
        <v>9259.26</v>
      </c>
    </row>
    <row r="128" spans="1:7" x14ac:dyDescent="0.2">
      <c r="B128" s="5" t="s">
        <v>220</v>
      </c>
      <c r="C128" s="77">
        <v>45822</v>
      </c>
      <c r="D128" s="5">
        <v>8</v>
      </c>
      <c r="E128" s="78">
        <v>9897.7800000000007</v>
      </c>
      <c r="F128" s="78">
        <v>638.53</v>
      </c>
      <c r="G128" s="78">
        <v>9259.25</v>
      </c>
    </row>
    <row r="129" spans="1:7" x14ac:dyDescent="0.2">
      <c r="B129" s="5" t="s">
        <v>221</v>
      </c>
      <c r="C129" s="77">
        <v>45853</v>
      </c>
      <c r="D129" s="5">
        <v>7</v>
      </c>
      <c r="E129" s="78">
        <v>9799.36</v>
      </c>
      <c r="F129" s="78">
        <v>540.1</v>
      </c>
      <c r="G129" s="78">
        <v>9259.26</v>
      </c>
    </row>
    <row r="130" spans="1:7" x14ac:dyDescent="0.2">
      <c r="B130" s="5" t="s">
        <v>222</v>
      </c>
      <c r="C130" s="77">
        <v>45883</v>
      </c>
      <c r="D130" s="5">
        <v>6</v>
      </c>
      <c r="E130" s="78">
        <v>9738.15</v>
      </c>
      <c r="F130" s="78">
        <v>478.9</v>
      </c>
      <c r="G130" s="78">
        <v>9259.25</v>
      </c>
    </row>
    <row r="131" spans="1:7" x14ac:dyDescent="0.2">
      <c r="B131" s="5" t="s">
        <v>223</v>
      </c>
      <c r="C131" s="77">
        <v>45916</v>
      </c>
      <c r="D131" s="5">
        <v>5</v>
      </c>
      <c r="E131" s="78">
        <v>9658.34</v>
      </c>
      <c r="F131" s="78">
        <v>399.08</v>
      </c>
      <c r="G131" s="78">
        <v>9259.26</v>
      </c>
    </row>
    <row r="132" spans="1:7" x14ac:dyDescent="0.2">
      <c r="B132" s="5" t="s">
        <v>224</v>
      </c>
      <c r="C132" s="77">
        <v>45944</v>
      </c>
      <c r="D132" s="5">
        <v>4</v>
      </c>
      <c r="E132" s="78">
        <v>9546.6200000000008</v>
      </c>
      <c r="F132" s="78">
        <v>287.37</v>
      </c>
      <c r="G132" s="78">
        <v>9259.25</v>
      </c>
    </row>
    <row r="133" spans="1:7" x14ac:dyDescent="0.2">
      <c r="B133" s="5" t="s">
        <v>225</v>
      </c>
      <c r="C133" s="77">
        <v>45976</v>
      </c>
      <c r="D133" s="5">
        <v>3</v>
      </c>
      <c r="E133" s="78">
        <v>9498.7100000000009</v>
      </c>
      <c r="F133" s="78">
        <v>239.45</v>
      </c>
      <c r="G133" s="78">
        <v>9259.26</v>
      </c>
    </row>
    <row r="134" spans="1:7" x14ac:dyDescent="0.2">
      <c r="B134" s="5" t="s">
        <v>226</v>
      </c>
      <c r="C134" s="77">
        <v>46007</v>
      </c>
      <c r="D134" s="5">
        <v>2</v>
      </c>
      <c r="E134" s="78">
        <v>9413.57</v>
      </c>
      <c r="F134" s="78">
        <v>154.32</v>
      </c>
      <c r="G134" s="78">
        <v>9259.25</v>
      </c>
    </row>
    <row r="135" spans="1:7" x14ac:dyDescent="0.2">
      <c r="A135" s="5" t="s">
        <v>227</v>
      </c>
      <c r="B135" s="5"/>
      <c r="C135" s="5"/>
      <c r="D135" s="5"/>
      <c r="E135" s="78">
        <v>117970.22999999998</v>
      </c>
      <c r="F135" s="78">
        <v>6859.1699999999992</v>
      </c>
      <c r="G135" s="78">
        <v>111111.06</v>
      </c>
    </row>
    <row r="136" spans="1:7" x14ac:dyDescent="0.2">
      <c r="A136" s="5" t="s">
        <v>230</v>
      </c>
      <c r="B136" s="5" t="s">
        <v>231</v>
      </c>
      <c r="C136" s="77">
        <v>46036</v>
      </c>
      <c r="D136" s="5">
        <v>1</v>
      </c>
      <c r="E136" s="78">
        <v>9331.1</v>
      </c>
      <c r="F136" s="78">
        <v>71.84</v>
      </c>
      <c r="G136" s="78">
        <v>9259.26</v>
      </c>
    </row>
    <row r="137" spans="1:7" x14ac:dyDescent="0.2">
      <c r="B137" s="5" t="s">
        <v>237</v>
      </c>
      <c r="C137" s="77">
        <v>46067</v>
      </c>
      <c r="D137" s="5">
        <v>108</v>
      </c>
      <c r="E137" s="78">
        <v>0</v>
      </c>
      <c r="F137" s="78">
        <v>0</v>
      </c>
      <c r="G137" s="78">
        <v>0</v>
      </c>
    </row>
    <row r="138" spans="1:7" x14ac:dyDescent="0.2">
      <c r="B138" s="5" t="s">
        <v>238</v>
      </c>
      <c r="C138" s="77">
        <v>46095</v>
      </c>
      <c r="D138" s="5">
        <v>107</v>
      </c>
      <c r="E138" s="78">
        <v>0</v>
      </c>
      <c r="F138" s="78">
        <v>0</v>
      </c>
      <c r="G138" s="78">
        <v>0</v>
      </c>
    </row>
    <row r="139" spans="1:7" x14ac:dyDescent="0.2">
      <c r="B139" s="5" t="s">
        <v>246</v>
      </c>
      <c r="C139" s="77">
        <v>46126</v>
      </c>
      <c r="D139" s="5">
        <v>106</v>
      </c>
      <c r="E139" s="78">
        <v>0</v>
      </c>
      <c r="F139" s="78">
        <v>0</v>
      </c>
      <c r="G139" s="78">
        <v>0</v>
      </c>
    </row>
    <row r="140" spans="1:7" x14ac:dyDescent="0.2">
      <c r="B140" s="5" t="s">
        <v>247</v>
      </c>
      <c r="C140" s="77">
        <v>46156</v>
      </c>
      <c r="D140" s="5">
        <v>105</v>
      </c>
      <c r="E140" s="78">
        <v>0</v>
      </c>
      <c r="F140" s="78">
        <v>0</v>
      </c>
      <c r="G140" s="78">
        <v>0</v>
      </c>
    </row>
    <row r="141" spans="1:7" x14ac:dyDescent="0.2">
      <c r="B141" s="5" t="s">
        <v>248</v>
      </c>
      <c r="C141" s="77">
        <v>46189</v>
      </c>
      <c r="D141" s="5">
        <v>104</v>
      </c>
      <c r="E141" s="78">
        <v>0</v>
      </c>
      <c r="F141" s="78">
        <v>0</v>
      </c>
      <c r="G141" s="78">
        <v>0</v>
      </c>
    </row>
    <row r="142" spans="1:7" x14ac:dyDescent="0.2">
      <c r="B142" s="5" t="s">
        <v>249</v>
      </c>
      <c r="C142" s="77">
        <v>46217</v>
      </c>
      <c r="D142" s="5">
        <v>103</v>
      </c>
      <c r="E142" s="78">
        <v>0</v>
      </c>
      <c r="F142" s="78">
        <v>0</v>
      </c>
      <c r="G142" s="78">
        <v>0</v>
      </c>
    </row>
    <row r="143" spans="1:7" x14ac:dyDescent="0.2">
      <c r="B143" s="5" t="s">
        <v>252</v>
      </c>
      <c r="C143" s="77">
        <v>46248</v>
      </c>
      <c r="D143" s="5">
        <v>102</v>
      </c>
      <c r="E143" s="78">
        <v>0</v>
      </c>
      <c r="F143" s="78">
        <v>0</v>
      </c>
      <c r="G143" s="78">
        <v>0</v>
      </c>
    </row>
    <row r="144" spans="1:7" x14ac:dyDescent="0.2">
      <c r="B144" s="5" t="s">
        <v>253</v>
      </c>
      <c r="C144" s="77">
        <v>46280</v>
      </c>
      <c r="D144" s="5">
        <v>101</v>
      </c>
      <c r="E144" s="78">
        <v>0</v>
      </c>
      <c r="F144" s="78">
        <v>0</v>
      </c>
      <c r="G144" s="78">
        <v>0</v>
      </c>
    </row>
    <row r="145" spans="1:7" x14ac:dyDescent="0.2">
      <c r="B145" s="5" t="s">
        <v>258</v>
      </c>
      <c r="C145" s="77">
        <v>46309</v>
      </c>
      <c r="D145" s="5">
        <v>100</v>
      </c>
      <c r="E145" s="78">
        <v>0</v>
      </c>
      <c r="F145" s="78">
        <v>0</v>
      </c>
      <c r="G145" s="78">
        <v>0</v>
      </c>
    </row>
    <row r="146" spans="1:7" x14ac:dyDescent="0.2">
      <c r="B146" s="5" t="s">
        <v>259</v>
      </c>
      <c r="C146" s="77">
        <v>46343</v>
      </c>
      <c r="D146" s="5">
        <v>99</v>
      </c>
      <c r="E146" s="78">
        <v>0</v>
      </c>
      <c r="F146" s="78">
        <v>0</v>
      </c>
      <c r="G146" s="78">
        <v>0</v>
      </c>
    </row>
    <row r="147" spans="1:7" x14ac:dyDescent="0.2">
      <c r="B147" s="5" t="s">
        <v>260</v>
      </c>
      <c r="C147" s="77">
        <v>46371</v>
      </c>
      <c r="D147" s="5">
        <v>98</v>
      </c>
      <c r="E147" s="78">
        <v>0</v>
      </c>
      <c r="F147" s="78">
        <v>0</v>
      </c>
      <c r="G147" s="78">
        <v>0</v>
      </c>
    </row>
    <row r="148" spans="1:7" x14ac:dyDescent="0.2">
      <c r="A148" s="5" t="s">
        <v>232</v>
      </c>
      <c r="B148" s="5"/>
      <c r="C148" s="5"/>
      <c r="D148" s="5"/>
      <c r="E148" s="78">
        <v>9331.1</v>
      </c>
      <c r="F148" s="78">
        <v>71.84</v>
      </c>
      <c r="G148" s="78">
        <v>9259.26</v>
      </c>
    </row>
    <row r="149" spans="1:7" x14ac:dyDescent="0.2">
      <c r="A149" s="5" t="s">
        <v>261</v>
      </c>
      <c r="B149" s="5" t="s">
        <v>262</v>
      </c>
      <c r="C149" s="77">
        <v>46401</v>
      </c>
      <c r="D149" s="5">
        <v>97</v>
      </c>
      <c r="E149" s="78">
        <v>0</v>
      </c>
      <c r="F149" s="78">
        <v>0</v>
      </c>
      <c r="G149" s="78">
        <v>0</v>
      </c>
    </row>
    <row r="150" spans="1:7" x14ac:dyDescent="0.2">
      <c r="B150" s="5" t="s">
        <v>285</v>
      </c>
      <c r="C150" s="77">
        <v>46434</v>
      </c>
      <c r="D150" s="5">
        <v>96</v>
      </c>
      <c r="E150" s="78">
        <v>0</v>
      </c>
      <c r="F150" s="78">
        <v>0</v>
      </c>
      <c r="G150" s="78">
        <v>0</v>
      </c>
    </row>
    <row r="151" spans="1:7" x14ac:dyDescent="0.2">
      <c r="B151" s="5" t="s">
        <v>286</v>
      </c>
      <c r="C151" s="77">
        <v>46462</v>
      </c>
      <c r="D151" s="5">
        <v>95</v>
      </c>
      <c r="E151" s="78">
        <v>0</v>
      </c>
      <c r="F151" s="78">
        <v>0</v>
      </c>
      <c r="G151" s="78">
        <v>0</v>
      </c>
    </row>
    <row r="152" spans="1:7" x14ac:dyDescent="0.2">
      <c r="B152" s="5" t="s">
        <v>287</v>
      </c>
      <c r="C152" s="77">
        <v>46491</v>
      </c>
      <c r="D152" s="5">
        <v>94</v>
      </c>
      <c r="E152" s="78">
        <v>0</v>
      </c>
      <c r="F152" s="78">
        <v>0</v>
      </c>
      <c r="G152" s="78">
        <v>0</v>
      </c>
    </row>
    <row r="153" spans="1:7" x14ac:dyDescent="0.2">
      <c r="B153" s="5" t="s">
        <v>288</v>
      </c>
      <c r="C153" s="77">
        <v>46521</v>
      </c>
      <c r="D153" s="5">
        <v>93</v>
      </c>
      <c r="E153" s="78">
        <v>0</v>
      </c>
      <c r="F153" s="78">
        <v>0</v>
      </c>
      <c r="G153" s="78">
        <v>0</v>
      </c>
    </row>
    <row r="154" spans="1:7" x14ac:dyDescent="0.2">
      <c r="B154" s="5" t="s">
        <v>289</v>
      </c>
      <c r="C154" s="77">
        <v>46553</v>
      </c>
      <c r="D154" s="5">
        <v>92</v>
      </c>
      <c r="E154" s="78">
        <v>0</v>
      </c>
      <c r="F154" s="78">
        <v>0</v>
      </c>
      <c r="G154" s="78">
        <v>0</v>
      </c>
    </row>
    <row r="155" spans="1:7" x14ac:dyDescent="0.2">
      <c r="B155" s="5" t="s">
        <v>290</v>
      </c>
      <c r="C155" s="77">
        <v>46582</v>
      </c>
      <c r="D155" s="5">
        <v>91</v>
      </c>
      <c r="E155" s="78">
        <v>0</v>
      </c>
      <c r="F155" s="78">
        <v>0</v>
      </c>
      <c r="G155" s="78">
        <v>0</v>
      </c>
    </row>
    <row r="156" spans="1:7" x14ac:dyDescent="0.2">
      <c r="B156" s="5" t="s">
        <v>291</v>
      </c>
      <c r="C156" s="77">
        <v>46613</v>
      </c>
      <c r="D156" s="5">
        <v>90</v>
      </c>
      <c r="E156" s="78">
        <v>0</v>
      </c>
      <c r="F156" s="78">
        <v>0</v>
      </c>
      <c r="G156" s="78">
        <v>0</v>
      </c>
    </row>
    <row r="157" spans="1:7" x14ac:dyDescent="0.2">
      <c r="B157" s="5" t="s">
        <v>292</v>
      </c>
      <c r="C157" s="77">
        <v>46644</v>
      </c>
      <c r="D157" s="5">
        <v>89</v>
      </c>
      <c r="E157" s="78">
        <v>0</v>
      </c>
      <c r="F157" s="78">
        <v>0</v>
      </c>
      <c r="G157" s="78">
        <v>0</v>
      </c>
    </row>
    <row r="158" spans="1:7" x14ac:dyDescent="0.2">
      <c r="B158" s="5" t="s">
        <v>294</v>
      </c>
      <c r="C158" s="77">
        <v>46674</v>
      </c>
      <c r="D158" s="5">
        <v>88</v>
      </c>
      <c r="E158" s="78">
        <v>0</v>
      </c>
      <c r="F158" s="78">
        <v>0</v>
      </c>
      <c r="G158" s="78">
        <v>0</v>
      </c>
    </row>
    <row r="159" spans="1:7" x14ac:dyDescent="0.2">
      <c r="B159" s="5" t="s">
        <v>296</v>
      </c>
      <c r="C159" s="77">
        <v>46707</v>
      </c>
      <c r="D159" s="5">
        <v>87</v>
      </c>
      <c r="E159" s="78">
        <v>0</v>
      </c>
      <c r="F159" s="78">
        <v>0</v>
      </c>
      <c r="G159" s="78">
        <v>0</v>
      </c>
    </row>
    <row r="160" spans="1:7" x14ac:dyDescent="0.2">
      <c r="B160" s="5" t="s">
        <v>297</v>
      </c>
      <c r="C160" s="77">
        <v>46735</v>
      </c>
      <c r="D160" s="5">
        <v>86</v>
      </c>
      <c r="E160" s="78">
        <v>0</v>
      </c>
      <c r="F160" s="78">
        <v>0</v>
      </c>
      <c r="G160" s="78">
        <v>0</v>
      </c>
    </row>
    <row r="161" spans="1:7" x14ac:dyDescent="0.2">
      <c r="A161" s="5" t="s">
        <v>263</v>
      </c>
      <c r="B161" s="5"/>
      <c r="C161" s="5"/>
      <c r="D161" s="5"/>
      <c r="E161" s="78">
        <v>0</v>
      </c>
      <c r="F161" s="78">
        <v>0</v>
      </c>
      <c r="G161" s="78">
        <v>0</v>
      </c>
    </row>
    <row r="162" spans="1:7" x14ac:dyDescent="0.2">
      <c r="A162" s="5" t="s">
        <v>298</v>
      </c>
      <c r="B162" s="5" t="s">
        <v>299</v>
      </c>
      <c r="C162" s="77">
        <v>46766</v>
      </c>
      <c r="D162" s="5">
        <v>85</v>
      </c>
      <c r="E162" s="78">
        <v>0</v>
      </c>
      <c r="F162" s="78">
        <v>0</v>
      </c>
      <c r="G162" s="78">
        <v>0</v>
      </c>
    </row>
    <row r="163" spans="1:7" x14ac:dyDescent="0.2">
      <c r="A163" s="5" t="s">
        <v>300</v>
      </c>
      <c r="B163" s="5"/>
      <c r="C163" s="5"/>
      <c r="D163" s="5"/>
      <c r="E163" s="78">
        <v>0</v>
      </c>
      <c r="F163" s="78">
        <v>0</v>
      </c>
      <c r="G163" s="78">
        <v>0</v>
      </c>
    </row>
    <row r="164" spans="1:7" x14ac:dyDescent="0.2">
      <c r="A164" s="5" t="s">
        <v>54</v>
      </c>
      <c r="E164" s="78">
        <v>1553825.1800000002</v>
      </c>
      <c r="F164" s="78">
        <v>553825.1799999997</v>
      </c>
      <c r="G164" s="78">
        <v>1000000.0000000007</v>
      </c>
    </row>
  </sheetData>
  <mergeCells count="2">
    <mergeCell ref="B2:C2"/>
    <mergeCell ref="B1:E1"/>
  </mergeCells>
  <pageMargins left="0.98425196850393704" right="0.39370078740157483" top="0.39370078740157483" bottom="0.51181102362204722" header="0.31496062992125984" footer="0.31496062992125984"/>
  <pageSetup orientation="portrait" verticalDpi="0" r:id="rId2"/>
  <headerFooter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E34" sqref="E34"/>
    </sheetView>
  </sheetViews>
  <sheetFormatPr defaultRowHeight="12.75" x14ac:dyDescent="0.2"/>
  <cols>
    <col min="1" max="1" width="10.5703125" bestFit="1" customWidth="1"/>
    <col min="2" max="2" width="14.7109375" bestFit="1" customWidth="1"/>
    <col min="3" max="3" width="12.5703125" customWidth="1"/>
    <col min="4" max="4" width="15.42578125" customWidth="1"/>
  </cols>
  <sheetData>
    <row r="1" spans="1:6" x14ac:dyDescent="0.2">
      <c r="A1" s="182" t="s">
        <v>157</v>
      </c>
      <c r="B1" s="221" t="str">
        <f>Simulador!D1</f>
        <v>Novo Financiamento com IPCA Exigível</v>
      </c>
      <c r="C1" s="221"/>
      <c r="D1" s="121">
        <f ca="1">TODAY()</f>
        <v>42440</v>
      </c>
      <c r="E1" s="110"/>
    </row>
    <row r="2" spans="1:6" x14ac:dyDescent="0.2">
      <c r="A2" s="183" t="s">
        <v>158</v>
      </c>
      <c r="B2" s="220">
        <f>Simulador!C3</f>
        <v>1000000</v>
      </c>
      <c r="C2" s="220"/>
      <c r="D2" s="118"/>
      <c r="E2" s="5"/>
      <c r="F2" s="5"/>
    </row>
    <row r="3" spans="1:6" s="5" customFormat="1" x14ac:dyDescent="0.2">
      <c r="A3" s="182" t="s">
        <v>240</v>
      </c>
      <c r="B3" s="184">
        <f>Simulador!F3</f>
        <v>7.4070254399999813</v>
      </c>
      <c r="C3" s="185" t="s">
        <v>251</v>
      </c>
      <c r="D3" s="118"/>
    </row>
    <row r="4" spans="1:6" x14ac:dyDescent="0.2">
      <c r="A4" s="111"/>
      <c r="B4" s="112" t="s">
        <v>55</v>
      </c>
      <c r="C4" s="178"/>
      <c r="D4" s="179"/>
    </row>
    <row r="5" spans="1:6" x14ac:dyDescent="0.2">
      <c r="A5" s="112" t="s">
        <v>128</v>
      </c>
      <c r="B5" s="5" t="s">
        <v>250</v>
      </c>
      <c r="C5" s="113" t="s">
        <v>144</v>
      </c>
      <c r="D5" s="113" t="s">
        <v>127</v>
      </c>
    </row>
    <row r="6" spans="1:6" x14ac:dyDescent="0.2">
      <c r="A6" s="191" t="s">
        <v>48</v>
      </c>
      <c r="B6" s="116">
        <v>75346.240000000005</v>
      </c>
      <c r="C6" s="116">
        <v>75346.240000000005</v>
      </c>
      <c r="D6" s="116">
        <v>0</v>
      </c>
    </row>
    <row r="7" spans="1:6" x14ac:dyDescent="0.2">
      <c r="A7" s="114" t="s">
        <v>49</v>
      </c>
      <c r="B7" s="115">
        <v>214254.64</v>
      </c>
      <c r="C7" s="115">
        <v>112402.78</v>
      </c>
      <c r="D7" s="115">
        <v>101851.85999999999</v>
      </c>
    </row>
    <row r="8" spans="1:6" x14ac:dyDescent="0.2">
      <c r="A8" s="114" t="s">
        <v>50</v>
      </c>
      <c r="B8" s="115">
        <v>195844.37</v>
      </c>
      <c r="C8" s="115">
        <v>84733.250000000015</v>
      </c>
      <c r="D8" s="115">
        <v>111111.11999999998</v>
      </c>
    </row>
    <row r="9" spans="1:6" x14ac:dyDescent="0.2">
      <c r="A9" s="114" t="s">
        <v>51</v>
      </c>
      <c r="B9" s="115">
        <v>184501.85000000003</v>
      </c>
      <c r="C9" s="115">
        <v>73390.73</v>
      </c>
      <c r="D9" s="115">
        <v>111111.11999999998</v>
      </c>
    </row>
    <row r="10" spans="1:6" x14ac:dyDescent="0.2">
      <c r="A10" s="114" t="s">
        <v>52</v>
      </c>
      <c r="B10" s="115">
        <v>173731.08000000005</v>
      </c>
      <c r="C10" s="115">
        <v>62619.96</v>
      </c>
      <c r="D10" s="115">
        <v>111111.11999999998</v>
      </c>
    </row>
    <row r="11" spans="1:6" x14ac:dyDescent="0.2">
      <c r="A11" s="114" t="s">
        <v>53</v>
      </c>
      <c r="B11" s="115">
        <v>162448.23000000001</v>
      </c>
      <c r="C11" s="115">
        <v>51337.109999999993</v>
      </c>
      <c r="D11" s="115">
        <v>111111.11999999998</v>
      </c>
    </row>
    <row r="12" spans="1:6" x14ac:dyDescent="0.2">
      <c r="A12" s="114" t="s">
        <v>172</v>
      </c>
      <c r="B12" s="115">
        <v>151132.54</v>
      </c>
      <c r="C12" s="115">
        <v>40021.419999999991</v>
      </c>
      <c r="D12" s="115">
        <v>111111.11999999998</v>
      </c>
    </row>
    <row r="13" spans="1:6" x14ac:dyDescent="0.2">
      <c r="A13" s="114" t="s">
        <v>186</v>
      </c>
      <c r="B13" s="115">
        <v>140088.09000000003</v>
      </c>
      <c r="C13" s="115">
        <v>28976.97</v>
      </c>
      <c r="D13" s="115">
        <v>111111.11999999998</v>
      </c>
    </row>
    <row r="14" spans="1:6" x14ac:dyDescent="0.2">
      <c r="A14" s="114" t="s">
        <v>200</v>
      </c>
      <c r="B14" s="115">
        <v>129176.81</v>
      </c>
      <c r="C14" s="115">
        <v>18065.71</v>
      </c>
      <c r="D14" s="115">
        <v>111111.09999999999</v>
      </c>
    </row>
    <row r="15" spans="1:6" x14ac:dyDescent="0.2">
      <c r="A15" s="114" t="s">
        <v>214</v>
      </c>
      <c r="B15" s="115">
        <v>117970.22999999998</v>
      </c>
      <c r="C15" s="115">
        <v>6859.1699999999992</v>
      </c>
      <c r="D15" s="115">
        <v>111111.06</v>
      </c>
    </row>
    <row r="16" spans="1:6" x14ac:dyDescent="0.2">
      <c r="A16" s="114" t="s">
        <v>230</v>
      </c>
      <c r="B16" s="115">
        <v>9331.1</v>
      </c>
      <c r="C16" s="115">
        <v>71.84</v>
      </c>
      <c r="D16" s="115">
        <v>9259.26</v>
      </c>
    </row>
    <row r="17" spans="1:4" x14ac:dyDescent="0.2">
      <c r="A17" s="114" t="s">
        <v>261</v>
      </c>
      <c r="B17" s="115">
        <v>0</v>
      </c>
      <c r="C17" s="115">
        <v>0</v>
      </c>
      <c r="D17" s="115">
        <v>0</v>
      </c>
    </row>
    <row r="18" spans="1:4" x14ac:dyDescent="0.2">
      <c r="A18" s="114" t="s">
        <v>298</v>
      </c>
      <c r="B18" s="115">
        <v>0</v>
      </c>
      <c r="C18" s="115">
        <v>0</v>
      </c>
      <c r="D18" s="115">
        <v>0</v>
      </c>
    </row>
    <row r="19" spans="1:4" x14ac:dyDescent="0.2">
      <c r="A19" s="117" t="s">
        <v>54</v>
      </c>
      <c r="B19" s="116">
        <v>1553825.1800000004</v>
      </c>
      <c r="C19" s="116">
        <v>553825.17999999993</v>
      </c>
      <c r="D19" s="116">
        <v>1000000</v>
      </c>
    </row>
  </sheetData>
  <mergeCells count="2">
    <mergeCell ref="B2:C2"/>
    <mergeCell ref="B1:C1"/>
  </mergeCells>
  <pageMargins left="1.5748031496062993" right="0.51181102362204722" top="0.78740157480314965" bottom="0.78740157480314965" header="0.31496062992125984" footer="0.31496062992125984"/>
  <pageSetup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3">
    <pageSetUpPr fitToPage="1"/>
  </sheetPr>
  <dimension ref="A1:W300"/>
  <sheetViews>
    <sheetView workbookViewId="0">
      <pane xSplit="4" ySplit="6" topLeftCell="E133" activePane="bottomRight" state="frozen"/>
      <selection pane="topRight" activeCell="E1" sqref="E1"/>
      <selection pane="bottomLeft" activeCell="A7" sqref="A7"/>
      <selection pane="bottomRight" activeCell="E141" sqref="E141"/>
    </sheetView>
  </sheetViews>
  <sheetFormatPr defaultRowHeight="12.75" x14ac:dyDescent="0.2"/>
  <cols>
    <col min="1" max="1" width="4.85546875" customWidth="1"/>
    <col min="4" max="4" width="17.28515625" bestFit="1" customWidth="1"/>
    <col min="5" max="9" width="8.85546875" customWidth="1"/>
    <col min="10" max="10" width="11.7109375" style="44" customWidth="1"/>
    <col min="11" max="11" width="11.28515625" hidden="1" customWidth="1"/>
    <col min="12" max="12" width="12.7109375" hidden="1" customWidth="1"/>
    <col min="13" max="13" width="8.85546875" hidden="1" customWidth="1"/>
    <col min="14" max="14" width="0" hidden="1" customWidth="1"/>
    <col min="15" max="15" width="76.7109375" bestFit="1" customWidth="1"/>
    <col min="16" max="16" width="11.42578125" bestFit="1" customWidth="1"/>
  </cols>
  <sheetData>
    <row r="1" spans="2:18" ht="16.5" x14ac:dyDescent="0.3">
      <c r="B1" s="222" t="s">
        <v>1</v>
      </c>
      <c r="C1" s="222"/>
      <c r="D1" s="222"/>
      <c r="E1" s="222"/>
      <c r="F1" s="222"/>
      <c r="G1" s="222"/>
      <c r="H1" s="222"/>
      <c r="I1" s="6"/>
      <c r="J1" s="42"/>
      <c r="O1" s="20" t="s">
        <v>23</v>
      </c>
    </row>
    <row r="2" spans="2:18" ht="13.5" thickBot="1" x14ac:dyDescent="0.25">
      <c r="B2" s="7"/>
      <c r="C2" s="7"/>
      <c r="D2" s="24"/>
      <c r="E2" s="7"/>
      <c r="F2" s="7"/>
      <c r="G2" s="7"/>
      <c r="H2" s="7"/>
      <c r="I2" s="8" t="s">
        <v>22</v>
      </c>
      <c r="J2" s="21"/>
      <c r="O2" s="9" t="s">
        <v>24</v>
      </c>
    </row>
    <row r="3" spans="2:18" ht="14.25" thickTop="1" x14ac:dyDescent="0.25">
      <c r="B3" s="10"/>
      <c r="C3" s="10"/>
      <c r="D3" s="25"/>
      <c r="E3" s="48"/>
      <c r="F3" s="49"/>
      <c r="G3" s="49" t="s">
        <v>2</v>
      </c>
      <c r="H3" s="49"/>
      <c r="I3" s="50"/>
      <c r="J3" s="43"/>
      <c r="O3" s="9"/>
    </row>
    <row r="4" spans="2:18" ht="13.5" x14ac:dyDescent="0.25">
      <c r="B4" s="11" t="s">
        <v>3</v>
      </c>
      <c r="C4" s="12" t="s">
        <v>4</v>
      </c>
      <c r="D4" s="26" t="s">
        <v>5</v>
      </c>
      <c r="E4" s="223" t="s">
        <v>6</v>
      </c>
      <c r="F4" s="224"/>
      <c r="G4" s="224"/>
      <c r="H4" s="224"/>
      <c r="I4" s="224"/>
      <c r="J4" s="13"/>
      <c r="O4" s="45" t="s">
        <v>295</v>
      </c>
    </row>
    <row r="5" spans="2:18" ht="13.5" x14ac:dyDescent="0.25">
      <c r="B5" s="13"/>
      <c r="C5" s="12"/>
      <c r="D5" s="27" t="s">
        <v>7</v>
      </c>
      <c r="E5" s="51" t="s">
        <v>8</v>
      </c>
      <c r="F5" s="52">
        <v>3</v>
      </c>
      <c r="G5" s="52">
        <v>6</v>
      </c>
      <c r="H5" s="52" t="s">
        <v>8</v>
      </c>
      <c r="I5" s="14">
        <v>12</v>
      </c>
      <c r="J5" s="14"/>
      <c r="O5" s="5"/>
    </row>
    <row r="6" spans="2:18" ht="14.25" thickBot="1" x14ac:dyDescent="0.3">
      <c r="B6" s="15"/>
      <c r="C6" s="15"/>
      <c r="D6" s="28"/>
      <c r="E6" s="17" t="s">
        <v>4</v>
      </c>
      <c r="F6" s="16" t="s">
        <v>9</v>
      </c>
      <c r="G6" s="16" t="s">
        <v>9</v>
      </c>
      <c r="H6" s="16" t="s">
        <v>3</v>
      </c>
      <c r="I6" s="53" t="s">
        <v>9</v>
      </c>
      <c r="J6" s="38"/>
      <c r="K6" s="5"/>
      <c r="L6" s="5"/>
      <c r="O6" s="5"/>
      <c r="P6" s="5"/>
      <c r="Q6" s="5"/>
      <c r="R6" s="5"/>
    </row>
    <row r="7" spans="2:18" x14ac:dyDescent="0.2">
      <c r="B7" s="18"/>
      <c r="C7" s="18"/>
      <c r="D7" s="29"/>
      <c r="E7" s="97"/>
      <c r="F7" s="19"/>
      <c r="G7" s="19"/>
      <c r="H7" s="19"/>
      <c r="I7" s="39"/>
      <c r="J7" s="39"/>
      <c r="K7" s="225" t="s">
        <v>25</v>
      </c>
      <c r="L7" s="226"/>
      <c r="M7" s="47" t="s">
        <v>29</v>
      </c>
      <c r="P7" s="5"/>
      <c r="Q7" s="5"/>
      <c r="R7" s="5"/>
    </row>
    <row r="8" spans="2:18" x14ac:dyDescent="0.2">
      <c r="B8" s="37">
        <v>2009</v>
      </c>
      <c r="C8" s="30" t="s">
        <v>10</v>
      </c>
      <c r="D8" s="163">
        <v>2906.74</v>
      </c>
      <c r="E8" s="98">
        <v>0.48</v>
      </c>
      <c r="F8" s="46">
        <v>1.1200000000000001</v>
      </c>
      <c r="G8" s="46">
        <v>2.13</v>
      </c>
      <c r="H8" s="46">
        <v>0.48</v>
      </c>
      <c r="I8" s="21">
        <v>5.84</v>
      </c>
      <c r="J8" s="137"/>
      <c r="K8" s="40">
        <v>38352</v>
      </c>
      <c r="L8" s="41"/>
      <c r="O8" s="5"/>
      <c r="P8" s="5"/>
      <c r="Q8" s="5"/>
      <c r="R8" s="5"/>
    </row>
    <row r="9" spans="2:18" x14ac:dyDescent="0.2">
      <c r="B9" s="22"/>
      <c r="C9" s="30" t="s">
        <v>11</v>
      </c>
      <c r="D9" s="163">
        <v>2922.73</v>
      </c>
      <c r="E9" s="98">
        <v>0.55000000000000004</v>
      </c>
      <c r="F9" s="46">
        <v>1.32</v>
      </c>
      <c r="G9" s="46">
        <v>2.4</v>
      </c>
      <c r="H9" s="46">
        <v>1.03</v>
      </c>
      <c r="I9" s="21">
        <v>5.9</v>
      </c>
      <c r="J9" s="137"/>
      <c r="K9" s="40">
        <v>38383</v>
      </c>
      <c r="L9" s="41"/>
      <c r="O9" s="5"/>
      <c r="P9" s="5"/>
      <c r="Q9" s="5"/>
      <c r="R9" s="5"/>
    </row>
    <row r="10" spans="2:18" x14ac:dyDescent="0.2">
      <c r="B10" s="22"/>
      <c r="C10" s="30" t="s">
        <v>12</v>
      </c>
      <c r="D10" s="163">
        <v>2928.57</v>
      </c>
      <c r="E10" s="98">
        <v>0.2</v>
      </c>
      <c r="F10" s="46">
        <v>1.23</v>
      </c>
      <c r="G10" s="46">
        <v>2.34</v>
      </c>
      <c r="H10" s="46">
        <v>1.23</v>
      </c>
      <c r="I10" s="21">
        <v>5.61</v>
      </c>
      <c r="J10" s="137"/>
      <c r="K10" s="40">
        <v>38411</v>
      </c>
      <c r="L10" s="41">
        <f>IF(E8=0,L9,E8)</f>
        <v>0.48</v>
      </c>
      <c r="O10" s="5"/>
      <c r="P10" s="5"/>
      <c r="Q10" s="5"/>
      <c r="R10" s="5"/>
    </row>
    <row r="11" spans="2:18" x14ac:dyDescent="0.2">
      <c r="B11" s="22"/>
      <c r="C11" s="30" t="s">
        <v>13</v>
      </c>
      <c r="D11" s="163">
        <v>2942.63</v>
      </c>
      <c r="E11" s="98">
        <v>0.48</v>
      </c>
      <c r="F11" s="46">
        <v>1.23</v>
      </c>
      <c r="G11" s="46">
        <v>2.37</v>
      </c>
      <c r="H11" s="46">
        <v>1.72</v>
      </c>
      <c r="I11" s="21">
        <v>5.53</v>
      </c>
      <c r="J11" s="137"/>
      <c r="K11" s="40">
        <v>38442</v>
      </c>
      <c r="L11" s="41">
        <f>IF(E9=0,L10,E9)</f>
        <v>0.55000000000000004</v>
      </c>
      <c r="O11" s="5"/>
      <c r="P11" s="5"/>
      <c r="Q11" s="5"/>
      <c r="R11" s="5"/>
    </row>
    <row r="12" spans="2:18" x14ac:dyDescent="0.2">
      <c r="B12" s="22"/>
      <c r="C12" s="30" t="s">
        <v>14</v>
      </c>
      <c r="D12" s="163">
        <v>2956.46</v>
      </c>
      <c r="E12" s="98">
        <v>0.47</v>
      </c>
      <c r="F12" s="46">
        <v>1.1499999999999999</v>
      </c>
      <c r="G12" s="46">
        <v>2.48</v>
      </c>
      <c r="H12" s="46">
        <v>2.2000000000000002</v>
      </c>
      <c r="I12" s="21">
        <v>5.2</v>
      </c>
      <c r="J12" s="137"/>
      <c r="K12" s="40">
        <v>38472</v>
      </c>
      <c r="L12" s="41">
        <f>IF(E10=0,L11,E10)</f>
        <v>0.2</v>
      </c>
      <c r="O12" s="5"/>
      <c r="P12" s="5"/>
      <c r="Q12" s="5"/>
      <c r="R12" s="5"/>
    </row>
    <row r="13" spans="2:18" x14ac:dyDescent="0.2">
      <c r="B13" s="22"/>
      <c r="C13" s="30" t="s">
        <v>15</v>
      </c>
      <c r="D13" s="163">
        <v>2967.1</v>
      </c>
      <c r="E13" s="98">
        <v>0.36</v>
      </c>
      <c r="F13" s="46">
        <v>1.32</v>
      </c>
      <c r="G13" s="46">
        <v>2.57</v>
      </c>
      <c r="H13" s="46">
        <v>2.57</v>
      </c>
      <c r="I13" s="21">
        <v>4.8</v>
      </c>
      <c r="J13" s="137"/>
      <c r="K13" s="40">
        <v>38503</v>
      </c>
      <c r="L13" s="41">
        <f t="shared" ref="L13:L73" si="0">IF(E11=0,L12,E11)</f>
        <v>0.48</v>
      </c>
      <c r="O13" s="5"/>
      <c r="P13" s="5"/>
      <c r="Q13" s="5"/>
      <c r="R13" s="5"/>
    </row>
    <row r="14" spans="2:18" x14ac:dyDescent="0.2">
      <c r="B14" s="22"/>
      <c r="C14" s="30" t="s">
        <v>16</v>
      </c>
      <c r="D14" s="163">
        <v>2974.22</v>
      </c>
      <c r="E14" s="98">
        <v>0.24</v>
      </c>
      <c r="F14" s="46">
        <v>1.07</v>
      </c>
      <c r="G14" s="46">
        <v>2.3199999999999998</v>
      </c>
      <c r="H14" s="46">
        <v>2.81</v>
      </c>
      <c r="I14" s="21">
        <v>4.5</v>
      </c>
      <c r="J14" s="137"/>
      <c r="K14" s="40">
        <v>38533</v>
      </c>
      <c r="L14" s="41">
        <f t="shared" si="0"/>
        <v>0.47</v>
      </c>
      <c r="O14" s="5"/>
      <c r="P14" s="5"/>
      <c r="Q14" s="5"/>
      <c r="R14" s="5"/>
    </row>
    <row r="15" spans="2:18" x14ac:dyDescent="0.2">
      <c r="B15" s="22"/>
      <c r="C15" s="30" t="s">
        <v>17</v>
      </c>
      <c r="D15" s="163">
        <v>2978.68</v>
      </c>
      <c r="E15" s="98">
        <v>0.15</v>
      </c>
      <c r="F15" s="46">
        <v>0.75</v>
      </c>
      <c r="G15" s="46">
        <v>1.91</v>
      </c>
      <c r="H15" s="46">
        <v>2.97</v>
      </c>
      <c r="I15" s="21">
        <v>4.3600000000000003</v>
      </c>
      <c r="J15" s="137"/>
      <c r="K15" s="40">
        <v>38564</v>
      </c>
      <c r="L15" s="41">
        <f t="shared" si="0"/>
        <v>0.36</v>
      </c>
      <c r="O15" s="5"/>
      <c r="P15" s="5"/>
      <c r="Q15" s="5"/>
      <c r="R15" s="5"/>
    </row>
    <row r="16" spans="2:18" x14ac:dyDescent="0.2">
      <c r="B16" s="22"/>
      <c r="C16" s="30" t="s">
        <v>18</v>
      </c>
      <c r="D16" s="163">
        <v>2985.83</v>
      </c>
      <c r="E16" s="98">
        <v>0.24</v>
      </c>
      <c r="F16" s="46">
        <v>0.63</v>
      </c>
      <c r="G16" s="46">
        <v>1.96</v>
      </c>
      <c r="H16" s="46">
        <v>3.21</v>
      </c>
      <c r="I16" s="21">
        <v>4.34</v>
      </c>
      <c r="J16" s="137"/>
      <c r="K16" s="40">
        <v>38595</v>
      </c>
      <c r="L16" s="41">
        <f t="shared" si="0"/>
        <v>0.24</v>
      </c>
      <c r="O16" s="5"/>
      <c r="P16" s="5"/>
      <c r="Q16" s="5"/>
      <c r="R16" s="5"/>
    </row>
    <row r="17" spans="2:18" x14ac:dyDescent="0.2">
      <c r="B17" s="22"/>
      <c r="C17" s="30" t="s">
        <v>19</v>
      </c>
      <c r="D17" s="163">
        <v>2994.19</v>
      </c>
      <c r="E17" s="98">
        <v>0.28000000000000003</v>
      </c>
      <c r="F17" s="46">
        <v>0.67</v>
      </c>
      <c r="G17" s="46">
        <v>1.75</v>
      </c>
      <c r="H17" s="46">
        <v>3.5</v>
      </c>
      <c r="I17" s="21">
        <v>4.17</v>
      </c>
      <c r="J17" s="137"/>
      <c r="K17" s="40">
        <v>38625</v>
      </c>
      <c r="L17" s="41">
        <f t="shared" si="0"/>
        <v>0.15</v>
      </c>
      <c r="O17" s="5"/>
      <c r="P17" s="5"/>
      <c r="Q17" s="5"/>
      <c r="R17" s="5"/>
    </row>
    <row r="18" spans="2:18" x14ac:dyDescent="0.2">
      <c r="B18" s="22"/>
      <c r="C18" s="30" t="s">
        <v>20</v>
      </c>
      <c r="D18" s="163">
        <v>3006.47</v>
      </c>
      <c r="E18" s="98">
        <v>0.41</v>
      </c>
      <c r="F18" s="46">
        <v>0.93</v>
      </c>
      <c r="G18" s="46">
        <v>1.69</v>
      </c>
      <c r="H18" s="46">
        <v>3.93</v>
      </c>
      <c r="I18" s="21">
        <v>4.22</v>
      </c>
      <c r="J18" s="137"/>
      <c r="K18" s="40">
        <v>38656</v>
      </c>
      <c r="L18" s="41">
        <f t="shared" si="0"/>
        <v>0.24</v>
      </c>
      <c r="O18" s="5"/>
      <c r="P18" s="5"/>
      <c r="Q18" s="5"/>
      <c r="R18" s="5"/>
    </row>
    <row r="19" spans="2:18" x14ac:dyDescent="0.2">
      <c r="B19" s="22"/>
      <c r="C19" s="30" t="s">
        <v>21</v>
      </c>
      <c r="D19" s="163">
        <v>3017.59</v>
      </c>
      <c r="E19" s="98">
        <v>0.37</v>
      </c>
      <c r="F19" s="46">
        <v>1.06</v>
      </c>
      <c r="G19" s="46">
        <v>1.7</v>
      </c>
      <c r="H19" s="46">
        <v>4.3099999999999996</v>
      </c>
      <c r="I19" s="21">
        <v>4.3099999999999996</v>
      </c>
      <c r="J19" s="137"/>
      <c r="K19" s="40">
        <v>38686</v>
      </c>
      <c r="L19" s="41">
        <f t="shared" si="0"/>
        <v>0.28000000000000003</v>
      </c>
      <c r="O19" s="5"/>
      <c r="P19" s="5"/>
      <c r="Q19" s="5"/>
      <c r="R19" s="5"/>
    </row>
    <row r="20" spans="2:18" x14ac:dyDescent="0.2">
      <c r="B20" s="37">
        <v>2010</v>
      </c>
      <c r="C20" s="30" t="s">
        <v>10</v>
      </c>
      <c r="D20" s="163">
        <v>3040.22</v>
      </c>
      <c r="E20" s="98">
        <v>0.75</v>
      </c>
      <c r="F20" s="46">
        <v>1.54</v>
      </c>
      <c r="G20" s="46">
        <v>2.2200000000000002</v>
      </c>
      <c r="H20" s="46">
        <v>0.75</v>
      </c>
      <c r="I20" s="21">
        <v>4.59</v>
      </c>
      <c r="J20" s="137"/>
      <c r="K20" s="40">
        <v>38717</v>
      </c>
      <c r="L20" s="41">
        <f t="shared" si="0"/>
        <v>0.41</v>
      </c>
      <c r="O20" s="5"/>
      <c r="P20" s="5"/>
      <c r="Q20" s="5"/>
      <c r="R20" s="5"/>
    </row>
    <row r="21" spans="2:18" x14ac:dyDescent="0.2">
      <c r="B21" s="22"/>
      <c r="C21" s="30" t="s">
        <v>11</v>
      </c>
      <c r="D21" s="163">
        <v>3063.93</v>
      </c>
      <c r="E21" s="98">
        <v>0.78</v>
      </c>
      <c r="F21" s="46">
        <v>1.91</v>
      </c>
      <c r="G21" s="46">
        <v>2.86</v>
      </c>
      <c r="H21" s="46">
        <v>1.54</v>
      </c>
      <c r="I21" s="21">
        <v>4.83</v>
      </c>
      <c r="J21" s="137"/>
      <c r="K21" s="40">
        <v>38748</v>
      </c>
      <c r="L21" s="41">
        <f t="shared" si="0"/>
        <v>0.37</v>
      </c>
      <c r="O21" s="5"/>
      <c r="P21" s="5"/>
      <c r="Q21" s="5"/>
      <c r="R21" s="5"/>
    </row>
    <row r="22" spans="2:18" x14ac:dyDescent="0.2">
      <c r="B22" s="22"/>
      <c r="C22" s="30" t="s">
        <v>12</v>
      </c>
      <c r="D22" s="163">
        <v>3079.86</v>
      </c>
      <c r="E22" s="98">
        <v>0.52</v>
      </c>
      <c r="F22" s="46">
        <v>2.06</v>
      </c>
      <c r="G22" s="46">
        <v>3.15</v>
      </c>
      <c r="H22" s="46">
        <v>2.06</v>
      </c>
      <c r="I22" s="21">
        <v>5.17</v>
      </c>
      <c r="J22" s="137"/>
      <c r="K22" s="40">
        <v>38776</v>
      </c>
      <c r="L22" s="41">
        <f t="shared" si="0"/>
        <v>0.75</v>
      </c>
      <c r="M22" s="78">
        <f>IF(L21="",M21,AVERAGE(L10:L21))</f>
        <v>0.35249999999999998</v>
      </c>
      <c r="O22" s="5"/>
      <c r="P22" s="5"/>
      <c r="Q22" s="5"/>
      <c r="R22" s="5"/>
    </row>
    <row r="23" spans="2:18" x14ac:dyDescent="0.2">
      <c r="B23" s="22"/>
      <c r="C23" s="30" t="s">
        <v>13</v>
      </c>
      <c r="D23" s="163">
        <v>3097.42</v>
      </c>
      <c r="E23" s="98">
        <v>0.56999999999999995</v>
      </c>
      <c r="F23" s="46">
        <v>1.88</v>
      </c>
      <c r="G23" s="46">
        <v>3.45</v>
      </c>
      <c r="H23" s="46">
        <v>2.65</v>
      </c>
      <c r="I23" s="21">
        <v>5.26</v>
      </c>
      <c r="J23" s="137"/>
      <c r="K23" s="40">
        <v>38807</v>
      </c>
      <c r="L23" s="41">
        <f t="shared" si="0"/>
        <v>0.78</v>
      </c>
      <c r="M23" s="78">
        <f t="shared" ref="M23:M86" si="1">IF(L22="",M22,AVERAGE(L11:L22))</f>
        <v>0.375</v>
      </c>
      <c r="O23" s="5"/>
      <c r="P23" s="5"/>
      <c r="Q23" s="5"/>
      <c r="R23" s="5"/>
    </row>
    <row r="24" spans="2:18" x14ac:dyDescent="0.2">
      <c r="B24" s="22"/>
      <c r="C24" s="30" t="s">
        <v>14</v>
      </c>
      <c r="D24" s="163">
        <v>3110.74</v>
      </c>
      <c r="E24" s="98">
        <v>0.43</v>
      </c>
      <c r="F24" s="46">
        <v>1.53</v>
      </c>
      <c r="G24" s="46">
        <v>3.47</v>
      </c>
      <c r="H24" s="46">
        <v>3.09</v>
      </c>
      <c r="I24" s="21">
        <v>5.22</v>
      </c>
      <c r="J24" s="137"/>
      <c r="K24" s="40">
        <v>38837</v>
      </c>
      <c r="L24" s="41">
        <f t="shared" si="0"/>
        <v>0.52</v>
      </c>
      <c r="M24" s="78">
        <f t="shared" si="1"/>
        <v>0.39416666666666672</v>
      </c>
      <c r="O24" s="5"/>
      <c r="P24" s="5"/>
      <c r="Q24" s="5"/>
      <c r="R24" s="5"/>
    </row>
    <row r="25" spans="2:18" x14ac:dyDescent="0.2">
      <c r="B25" s="22"/>
      <c r="C25" s="30" t="s">
        <v>15</v>
      </c>
      <c r="D25" s="163">
        <v>3110.74</v>
      </c>
      <c r="E25" s="98">
        <v>0</v>
      </c>
      <c r="F25" s="46">
        <v>1</v>
      </c>
      <c r="G25" s="46">
        <v>3.09</v>
      </c>
      <c r="H25" s="46">
        <v>3.09</v>
      </c>
      <c r="I25" s="21">
        <v>4.84</v>
      </c>
      <c r="J25" s="137"/>
      <c r="K25" s="40">
        <v>38868</v>
      </c>
      <c r="L25" s="41">
        <f t="shared" si="0"/>
        <v>0.56999999999999995</v>
      </c>
      <c r="M25" s="78">
        <f t="shared" si="1"/>
        <v>0.42083333333333339</v>
      </c>
      <c r="O25" s="5"/>
      <c r="P25" s="5"/>
      <c r="Q25" s="5"/>
      <c r="R25" s="5"/>
    </row>
    <row r="26" spans="2:18" x14ac:dyDescent="0.2">
      <c r="B26" s="22"/>
      <c r="C26" s="30" t="s">
        <v>16</v>
      </c>
      <c r="D26" s="163">
        <v>3111.05</v>
      </c>
      <c r="E26" s="98">
        <v>0.01</v>
      </c>
      <c r="F26" s="46">
        <v>0.44</v>
      </c>
      <c r="G26" s="46">
        <v>2.33</v>
      </c>
      <c r="H26" s="46">
        <v>3.1</v>
      </c>
      <c r="I26" s="21">
        <v>4.5999999999999996</v>
      </c>
      <c r="J26" s="137"/>
      <c r="K26" s="40">
        <v>38898</v>
      </c>
      <c r="L26" s="41">
        <f t="shared" si="0"/>
        <v>0.43</v>
      </c>
      <c r="M26" s="78">
        <f t="shared" si="1"/>
        <v>0.4283333333333334</v>
      </c>
      <c r="O26" s="5"/>
      <c r="P26" s="5"/>
      <c r="Q26" s="5"/>
      <c r="R26" s="5"/>
    </row>
    <row r="27" spans="2:18" x14ac:dyDescent="0.2">
      <c r="B27" s="22"/>
      <c r="C27" s="30" t="s">
        <v>17</v>
      </c>
      <c r="D27" s="163">
        <v>3112.29</v>
      </c>
      <c r="E27" s="98">
        <v>0.04</v>
      </c>
      <c r="F27" s="46">
        <v>0.05</v>
      </c>
      <c r="G27" s="46">
        <v>1.58</v>
      </c>
      <c r="H27" s="46">
        <v>3.14</v>
      </c>
      <c r="I27" s="21">
        <v>4.49</v>
      </c>
      <c r="J27" s="137"/>
      <c r="K27" s="40">
        <v>38929</v>
      </c>
      <c r="L27" s="41">
        <f t="shared" si="0"/>
        <v>0.43</v>
      </c>
      <c r="M27" s="78">
        <f t="shared" si="1"/>
        <v>0.42499999999999999</v>
      </c>
      <c r="O27" s="5"/>
      <c r="P27" s="5"/>
      <c r="Q27" s="5"/>
      <c r="R27" s="5"/>
    </row>
    <row r="28" spans="2:18" x14ac:dyDescent="0.2">
      <c r="B28" s="22"/>
      <c r="C28" s="30" t="s">
        <v>18</v>
      </c>
      <c r="D28" s="163">
        <v>3126.29</v>
      </c>
      <c r="E28" s="98">
        <v>0.45</v>
      </c>
      <c r="F28" s="46">
        <v>0.5</v>
      </c>
      <c r="G28" s="46">
        <v>1.51</v>
      </c>
      <c r="H28" s="46">
        <v>3.6</v>
      </c>
      <c r="I28" s="21">
        <v>4.7</v>
      </c>
      <c r="J28" s="137"/>
      <c r="K28" s="40">
        <v>38960</v>
      </c>
      <c r="L28" s="41">
        <f t="shared" si="0"/>
        <v>0.01</v>
      </c>
      <c r="M28" s="78">
        <f t="shared" si="1"/>
        <v>0.43083333333333323</v>
      </c>
      <c r="O28" s="5"/>
      <c r="P28" s="5"/>
      <c r="Q28" s="5"/>
      <c r="R28" s="5"/>
    </row>
    <row r="29" spans="2:18" x14ac:dyDescent="0.2">
      <c r="B29" s="22"/>
      <c r="C29" s="30" t="s">
        <v>19</v>
      </c>
      <c r="D29" s="163">
        <v>3149.74</v>
      </c>
      <c r="E29" s="98">
        <v>0.75</v>
      </c>
      <c r="F29" s="46">
        <v>1.24</v>
      </c>
      <c r="G29" s="46">
        <v>1.69</v>
      </c>
      <c r="H29" s="46">
        <v>4.38</v>
      </c>
      <c r="I29" s="21">
        <v>5.2</v>
      </c>
      <c r="J29" s="137"/>
      <c r="K29" s="40">
        <v>38990</v>
      </c>
      <c r="L29" s="41">
        <f t="shared" si="0"/>
        <v>0.04</v>
      </c>
      <c r="M29" s="78">
        <f t="shared" si="1"/>
        <v>0.41166666666666663</v>
      </c>
      <c r="O29" s="5"/>
      <c r="P29" s="5"/>
      <c r="Q29" s="5"/>
      <c r="R29" s="5"/>
    </row>
    <row r="30" spans="2:18" x14ac:dyDescent="0.2">
      <c r="B30" s="22"/>
      <c r="C30" s="30" t="s">
        <v>20</v>
      </c>
      <c r="D30" s="163">
        <v>3175.88</v>
      </c>
      <c r="E30" s="98">
        <v>0.83</v>
      </c>
      <c r="F30" s="46">
        <v>2.04</v>
      </c>
      <c r="G30" s="46">
        <v>2.09</v>
      </c>
      <c r="H30" s="46">
        <v>5.25</v>
      </c>
      <c r="I30" s="21">
        <v>5.63</v>
      </c>
      <c r="J30" s="137"/>
      <c r="K30" s="40">
        <v>39021</v>
      </c>
      <c r="L30" s="41">
        <f t="shared" si="0"/>
        <v>0.45</v>
      </c>
      <c r="M30" s="78">
        <f t="shared" si="1"/>
        <v>0.40249999999999991</v>
      </c>
      <c r="O30" s="5"/>
      <c r="P30" s="5"/>
      <c r="Q30" s="5"/>
      <c r="R30" s="5"/>
    </row>
    <row r="31" spans="2:18" x14ac:dyDescent="0.2">
      <c r="B31" s="22"/>
      <c r="C31" s="30" t="s">
        <v>21</v>
      </c>
      <c r="D31" s="163">
        <v>3195.89</v>
      </c>
      <c r="E31" s="98">
        <v>0.63</v>
      </c>
      <c r="F31" s="46">
        <v>2.23</v>
      </c>
      <c r="G31" s="46">
        <v>2.74</v>
      </c>
      <c r="H31" s="46">
        <v>5.91</v>
      </c>
      <c r="I31" s="21">
        <v>5.91</v>
      </c>
      <c r="J31" s="137"/>
      <c r="K31" s="40">
        <v>39051</v>
      </c>
      <c r="L31" s="41">
        <f t="shared" si="0"/>
        <v>0.75</v>
      </c>
      <c r="M31" s="78">
        <f t="shared" si="1"/>
        <v>0.41999999999999993</v>
      </c>
      <c r="O31" s="5"/>
      <c r="P31" s="5"/>
      <c r="Q31" s="5"/>
      <c r="R31" s="5"/>
    </row>
    <row r="32" spans="2:18" x14ac:dyDescent="0.2">
      <c r="B32" s="37">
        <v>2011</v>
      </c>
      <c r="C32" s="30" t="s">
        <v>10</v>
      </c>
      <c r="D32" s="163">
        <v>3222.42</v>
      </c>
      <c r="E32" s="98">
        <v>0.83</v>
      </c>
      <c r="F32" s="46">
        <v>2.31</v>
      </c>
      <c r="G32" s="46">
        <v>3.58</v>
      </c>
      <c r="H32" s="46">
        <v>0.83</v>
      </c>
      <c r="I32" s="21">
        <v>5.99</v>
      </c>
      <c r="J32" s="137"/>
      <c r="K32" s="40">
        <v>39082</v>
      </c>
      <c r="L32" s="41">
        <f t="shared" si="0"/>
        <v>0.83</v>
      </c>
      <c r="M32" s="78">
        <f t="shared" si="1"/>
        <v>0.45916666666666667</v>
      </c>
      <c r="O32" s="5"/>
      <c r="P32" s="5"/>
      <c r="Q32" s="5"/>
      <c r="R32" s="5"/>
    </row>
    <row r="33" spans="2:18" x14ac:dyDescent="0.2">
      <c r="B33" s="22"/>
      <c r="C33" s="30" t="s">
        <v>11</v>
      </c>
      <c r="D33" s="163">
        <v>3248.2</v>
      </c>
      <c r="E33" s="98">
        <v>0.8</v>
      </c>
      <c r="F33" s="46">
        <v>2.2799999999999998</v>
      </c>
      <c r="G33" s="46">
        <v>4.37</v>
      </c>
      <c r="H33" s="46">
        <v>1.64</v>
      </c>
      <c r="I33" s="21">
        <v>6.01</v>
      </c>
      <c r="J33" s="137"/>
      <c r="K33" s="40">
        <v>39113</v>
      </c>
      <c r="L33" s="41">
        <f t="shared" si="0"/>
        <v>0.63</v>
      </c>
      <c r="M33" s="78">
        <f t="shared" si="1"/>
        <v>0.49416666666666664</v>
      </c>
      <c r="O33" s="5"/>
      <c r="P33" s="5"/>
      <c r="Q33" s="5"/>
      <c r="R33" s="5"/>
    </row>
    <row r="34" spans="2:18" x14ac:dyDescent="0.2">
      <c r="B34" s="22"/>
      <c r="C34" s="30" t="s">
        <v>12</v>
      </c>
      <c r="D34" s="163">
        <v>3273.86</v>
      </c>
      <c r="E34" s="98">
        <v>0.79</v>
      </c>
      <c r="F34" s="46">
        <v>2.44</v>
      </c>
      <c r="G34" s="46">
        <v>4.72</v>
      </c>
      <c r="H34" s="46">
        <v>2.44</v>
      </c>
      <c r="I34" s="21">
        <v>6.3</v>
      </c>
      <c r="J34" s="137"/>
      <c r="K34" s="40">
        <v>39141</v>
      </c>
      <c r="L34" s="41">
        <f t="shared" si="0"/>
        <v>0.83</v>
      </c>
      <c r="M34" s="78">
        <f t="shared" si="1"/>
        <v>0.51583333333333337</v>
      </c>
      <c r="O34" s="5"/>
      <c r="P34" s="5"/>
      <c r="Q34" s="5"/>
      <c r="R34" s="5"/>
    </row>
    <row r="35" spans="2:18" x14ac:dyDescent="0.2">
      <c r="B35" s="22"/>
      <c r="C35" s="30" t="s">
        <v>13</v>
      </c>
      <c r="D35" s="163">
        <v>3299.07</v>
      </c>
      <c r="E35" s="98">
        <v>0.77</v>
      </c>
      <c r="F35" s="46">
        <v>2.38</v>
      </c>
      <c r="G35" s="46">
        <v>4.74</v>
      </c>
      <c r="H35" s="46">
        <v>3.23</v>
      </c>
      <c r="I35" s="21">
        <v>6.51</v>
      </c>
      <c r="J35" s="137"/>
      <c r="K35" s="40">
        <v>39172</v>
      </c>
      <c r="L35" s="41">
        <f t="shared" si="0"/>
        <v>0.8</v>
      </c>
      <c r="M35" s="78">
        <f t="shared" si="1"/>
        <v>0.52250000000000008</v>
      </c>
      <c r="O35" s="5"/>
      <c r="P35" s="5"/>
      <c r="Q35" s="5"/>
      <c r="R35" s="5"/>
    </row>
    <row r="36" spans="2:18" x14ac:dyDescent="0.2">
      <c r="B36" s="22"/>
      <c r="C36" s="30" t="s">
        <v>14</v>
      </c>
      <c r="D36" s="163">
        <v>3314.58</v>
      </c>
      <c r="E36" s="98">
        <v>0.47</v>
      </c>
      <c r="F36" s="46">
        <v>2.04</v>
      </c>
      <c r="G36" s="46">
        <v>4.37</v>
      </c>
      <c r="H36" s="46">
        <v>3.71</v>
      </c>
      <c r="I36" s="21">
        <v>6.55</v>
      </c>
      <c r="J36" s="137"/>
      <c r="K36" s="40">
        <v>39202</v>
      </c>
      <c r="L36" s="41">
        <f t="shared" si="0"/>
        <v>0.79</v>
      </c>
      <c r="M36" s="78">
        <f t="shared" si="1"/>
        <v>0.52416666666666656</v>
      </c>
      <c r="O36" s="5"/>
      <c r="P36" s="5"/>
      <c r="Q36" s="5"/>
      <c r="R36" s="5"/>
    </row>
    <row r="37" spans="2:18" x14ac:dyDescent="0.2">
      <c r="B37" s="22"/>
      <c r="C37" s="30" t="s">
        <v>15</v>
      </c>
      <c r="D37" s="163">
        <v>3319.55</v>
      </c>
      <c r="E37" s="98">
        <v>0.15</v>
      </c>
      <c r="F37" s="46">
        <v>1.4</v>
      </c>
      <c r="G37" s="46">
        <v>3.87</v>
      </c>
      <c r="H37" s="46">
        <v>3.87</v>
      </c>
      <c r="I37" s="21">
        <v>6.71</v>
      </c>
      <c r="J37" s="137"/>
      <c r="K37" s="40">
        <v>39233</v>
      </c>
      <c r="L37" s="41">
        <f t="shared" si="0"/>
        <v>0.77</v>
      </c>
      <c r="M37" s="78">
        <f t="shared" si="1"/>
        <v>0.54666666666666663</v>
      </c>
      <c r="O37" s="5"/>
      <c r="P37" s="5"/>
      <c r="Q37" s="5"/>
      <c r="R37" s="5"/>
    </row>
    <row r="38" spans="2:18" x14ac:dyDescent="0.2">
      <c r="B38" s="22"/>
      <c r="C38" s="30" t="s">
        <v>16</v>
      </c>
      <c r="D38" s="163">
        <v>3324.86</v>
      </c>
      <c r="E38" s="98">
        <v>0.16</v>
      </c>
      <c r="F38" s="46">
        <v>0.78</v>
      </c>
      <c r="G38" s="46">
        <v>3.18</v>
      </c>
      <c r="H38" s="46">
        <v>4.04</v>
      </c>
      <c r="I38" s="21">
        <v>6.87</v>
      </c>
      <c r="J38" s="137"/>
      <c r="K38" s="40">
        <v>39263</v>
      </c>
      <c r="L38" s="41">
        <f t="shared" si="0"/>
        <v>0.47</v>
      </c>
      <c r="M38" s="78">
        <f t="shared" si="1"/>
        <v>0.56333333333333335</v>
      </c>
      <c r="O38" s="5"/>
      <c r="P38" s="5"/>
      <c r="Q38" s="5"/>
      <c r="R38" s="5"/>
    </row>
    <row r="39" spans="2:18" x14ac:dyDescent="0.2">
      <c r="B39" s="22"/>
      <c r="C39" s="30" t="s">
        <v>17</v>
      </c>
      <c r="D39" s="163">
        <v>3337.16</v>
      </c>
      <c r="E39" s="98">
        <v>0.37</v>
      </c>
      <c r="F39" s="46">
        <v>0.68</v>
      </c>
      <c r="G39" s="46">
        <v>2.74</v>
      </c>
      <c r="H39" s="46">
        <v>4.42</v>
      </c>
      <c r="I39" s="21">
        <v>7.23</v>
      </c>
      <c r="J39" s="137"/>
      <c r="K39" s="40">
        <v>39294</v>
      </c>
      <c r="L39" s="41">
        <f t="shared" si="0"/>
        <v>0.15</v>
      </c>
      <c r="M39" s="78">
        <f t="shared" si="1"/>
        <v>0.56666666666666665</v>
      </c>
      <c r="O39" s="5"/>
      <c r="P39" s="5"/>
      <c r="Q39" s="5"/>
      <c r="R39" s="5"/>
    </row>
    <row r="40" spans="2:18" x14ac:dyDescent="0.2">
      <c r="B40" s="22"/>
      <c r="C40" s="30" t="s">
        <v>18</v>
      </c>
      <c r="D40" s="163">
        <v>3354.85</v>
      </c>
      <c r="E40" s="98">
        <v>0.53</v>
      </c>
      <c r="F40" s="46">
        <v>1.06</v>
      </c>
      <c r="G40" s="46">
        <v>2.4700000000000002</v>
      </c>
      <c r="H40" s="46">
        <v>4.97</v>
      </c>
      <c r="I40" s="21">
        <v>7.31</v>
      </c>
      <c r="J40" s="137"/>
      <c r="K40" s="40">
        <v>39325</v>
      </c>
      <c r="L40" s="41">
        <f t="shared" si="0"/>
        <v>0.16</v>
      </c>
      <c r="M40" s="78">
        <f t="shared" si="1"/>
        <v>0.54333333333333333</v>
      </c>
      <c r="O40" s="5"/>
      <c r="P40" s="5"/>
      <c r="Q40" s="5"/>
      <c r="R40" s="5"/>
    </row>
    <row r="41" spans="2:18" x14ac:dyDescent="0.2">
      <c r="B41" s="22"/>
      <c r="C41" s="30" t="s">
        <v>19</v>
      </c>
      <c r="D41" s="163">
        <v>3369.28</v>
      </c>
      <c r="E41" s="98">
        <v>0.43</v>
      </c>
      <c r="F41" s="46">
        <v>1.34</v>
      </c>
      <c r="G41" s="46">
        <v>2.13</v>
      </c>
      <c r="H41" s="46">
        <v>5.43</v>
      </c>
      <c r="I41" s="21">
        <v>6.97</v>
      </c>
      <c r="J41" s="137"/>
      <c r="K41" s="40">
        <v>39355</v>
      </c>
      <c r="L41" s="41">
        <f t="shared" si="0"/>
        <v>0.37</v>
      </c>
      <c r="M41" s="78">
        <f t="shared" si="1"/>
        <v>0.5558333333333334</v>
      </c>
      <c r="O41" s="5"/>
      <c r="P41" s="5"/>
      <c r="Q41" s="5"/>
      <c r="R41" s="5"/>
    </row>
    <row r="42" spans="2:18" x14ac:dyDescent="0.2">
      <c r="B42" s="22"/>
      <c r="C42" s="30" t="s">
        <v>20</v>
      </c>
      <c r="D42" s="163">
        <v>3386.8</v>
      </c>
      <c r="E42" s="98">
        <v>0.52</v>
      </c>
      <c r="F42" s="46">
        <v>1.49</v>
      </c>
      <c r="G42" s="46">
        <v>2.1800000000000002</v>
      </c>
      <c r="H42" s="46">
        <v>5.97</v>
      </c>
      <c r="I42" s="21">
        <v>6.64</v>
      </c>
      <c r="J42" s="137"/>
      <c r="K42" s="40">
        <v>39386</v>
      </c>
      <c r="L42" s="41">
        <f t="shared" si="0"/>
        <v>0.53</v>
      </c>
      <c r="M42" s="78">
        <f t="shared" si="1"/>
        <v>0.58333333333333337</v>
      </c>
      <c r="O42" s="5"/>
      <c r="P42" s="5"/>
      <c r="Q42" s="5"/>
      <c r="R42" s="5"/>
    </row>
    <row r="43" spans="2:18" x14ac:dyDescent="0.2">
      <c r="B43" s="22"/>
      <c r="C43" s="30" t="s">
        <v>21</v>
      </c>
      <c r="D43" s="163">
        <v>3403.73</v>
      </c>
      <c r="E43" s="98">
        <v>0.5</v>
      </c>
      <c r="F43" s="46">
        <v>1.46</v>
      </c>
      <c r="G43" s="46">
        <v>2.54</v>
      </c>
      <c r="H43" s="46">
        <v>6.5</v>
      </c>
      <c r="I43" s="21">
        <v>6.5</v>
      </c>
      <c r="J43" s="137"/>
      <c r="K43" s="40">
        <v>39416</v>
      </c>
      <c r="L43" s="41">
        <f t="shared" si="0"/>
        <v>0.43</v>
      </c>
      <c r="M43" s="78">
        <f t="shared" si="1"/>
        <v>0.59000000000000008</v>
      </c>
      <c r="O43" s="5"/>
      <c r="P43" s="5"/>
      <c r="Q43" s="5"/>
      <c r="R43" s="5"/>
    </row>
    <row r="44" spans="2:18" x14ac:dyDescent="0.2">
      <c r="B44" s="37">
        <v>2012</v>
      </c>
      <c r="C44" s="30" t="s">
        <v>10</v>
      </c>
      <c r="D44" s="163">
        <v>3422.79</v>
      </c>
      <c r="E44" s="98">
        <v>0.56000000000000005</v>
      </c>
      <c r="F44" s="46">
        <v>1.59</v>
      </c>
      <c r="G44" s="46">
        <v>2.95</v>
      </c>
      <c r="H44" s="46">
        <v>0.56000000000000005</v>
      </c>
      <c r="I44" s="21">
        <v>6.22</v>
      </c>
      <c r="J44" s="137"/>
      <c r="K44" s="40">
        <v>39447</v>
      </c>
      <c r="L44" s="41">
        <f t="shared" si="0"/>
        <v>0.52</v>
      </c>
      <c r="M44" s="78">
        <f t="shared" si="1"/>
        <v>0.56333333333333335</v>
      </c>
      <c r="O44" s="5"/>
      <c r="P44" s="5"/>
      <c r="Q44" s="5"/>
      <c r="R44" s="5"/>
    </row>
    <row r="45" spans="2:18" x14ac:dyDescent="0.2">
      <c r="B45" s="22"/>
      <c r="C45" s="30" t="s">
        <v>11</v>
      </c>
      <c r="D45" s="163">
        <v>3438.19</v>
      </c>
      <c r="E45" s="98">
        <v>0.45</v>
      </c>
      <c r="F45" s="46">
        <v>1.52</v>
      </c>
      <c r="G45" s="46">
        <v>3.03</v>
      </c>
      <c r="H45" s="46">
        <v>1.01</v>
      </c>
      <c r="I45" s="21">
        <v>5.85</v>
      </c>
      <c r="J45" s="137"/>
      <c r="K45" s="40">
        <v>39478</v>
      </c>
      <c r="L45" s="41">
        <f t="shared" si="0"/>
        <v>0.5</v>
      </c>
      <c r="M45" s="78">
        <f t="shared" si="1"/>
        <v>0.53750000000000009</v>
      </c>
      <c r="O45" s="5"/>
      <c r="P45" s="5"/>
      <c r="Q45" s="5"/>
      <c r="R45" s="5"/>
    </row>
    <row r="46" spans="2:18" x14ac:dyDescent="0.2">
      <c r="B46" s="22"/>
      <c r="C46" s="30" t="s">
        <v>12</v>
      </c>
      <c r="D46" s="163">
        <v>3445.41</v>
      </c>
      <c r="E46" s="98">
        <v>0.21</v>
      </c>
      <c r="F46" s="46">
        <v>1.22</v>
      </c>
      <c r="G46" s="46">
        <v>2.7</v>
      </c>
      <c r="H46" s="46">
        <v>1.22</v>
      </c>
      <c r="I46" s="21">
        <v>5.24</v>
      </c>
      <c r="J46" s="137"/>
      <c r="K46" s="40">
        <v>39507</v>
      </c>
      <c r="L46" s="41">
        <f t="shared" si="0"/>
        <v>0.56000000000000005</v>
      </c>
      <c r="M46" s="78">
        <f t="shared" si="1"/>
        <v>0.52666666666666673</v>
      </c>
      <c r="O46" s="5"/>
      <c r="P46" s="5"/>
      <c r="Q46" s="5"/>
      <c r="R46" s="5"/>
    </row>
    <row r="47" spans="2:18" x14ac:dyDescent="0.2">
      <c r="B47" s="22"/>
      <c r="C47" s="30" t="s">
        <v>13</v>
      </c>
      <c r="D47" s="163">
        <v>3467.46</v>
      </c>
      <c r="E47" s="98">
        <v>0.64</v>
      </c>
      <c r="F47" s="46">
        <v>1.31</v>
      </c>
      <c r="G47" s="46">
        <v>2.91</v>
      </c>
      <c r="H47" s="46">
        <v>1.87</v>
      </c>
      <c r="I47" s="21">
        <v>5.0999999999999996</v>
      </c>
      <c r="J47" s="137"/>
      <c r="K47" s="40">
        <v>39538</v>
      </c>
      <c r="L47" s="41">
        <f t="shared" si="0"/>
        <v>0.45</v>
      </c>
      <c r="M47" s="78">
        <f t="shared" si="1"/>
        <v>0.50416666666666676</v>
      </c>
      <c r="O47" s="5"/>
      <c r="P47" s="5"/>
      <c r="Q47" s="5"/>
      <c r="R47" s="5"/>
    </row>
    <row r="48" spans="2:18" x14ac:dyDescent="0.2">
      <c r="B48" s="22"/>
      <c r="C48" s="30" t="s">
        <v>14</v>
      </c>
      <c r="D48" s="163">
        <v>3479.94</v>
      </c>
      <c r="E48" s="98">
        <v>0.36</v>
      </c>
      <c r="F48" s="46">
        <v>1.21</v>
      </c>
      <c r="G48" s="46">
        <v>2.75</v>
      </c>
      <c r="H48" s="46">
        <v>2.2400000000000002</v>
      </c>
      <c r="I48" s="21">
        <v>4.99</v>
      </c>
      <c r="J48" s="137"/>
      <c r="K48" s="40">
        <v>39568</v>
      </c>
      <c r="L48" s="41">
        <f t="shared" si="0"/>
        <v>0.21</v>
      </c>
      <c r="M48" s="78">
        <f t="shared" si="1"/>
        <v>0.47500000000000003</v>
      </c>
      <c r="O48" s="5"/>
      <c r="P48" s="5"/>
      <c r="Q48" s="5"/>
      <c r="R48" s="5"/>
    </row>
    <row r="49" spans="2:18" x14ac:dyDescent="0.2">
      <c r="B49" s="22"/>
      <c r="C49" s="30" t="s">
        <v>15</v>
      </c>
      <c r="D49" s="163">
        <v>3482.72</v>
      </c>
      <c r="E49" s="98">
        <v>0.08</v>
      </c>
      <c r="F49" s="46">
        <v>1.08</v>
      </c>
      <c r="G49" s="46">
        <v>2.3199999999999998</v>
      </c>
      <c r="H49" s="46">
        <v>2.3199999999999998</v>
      </c>
      <c r="I49" s="21">
        <v>4.92</v>
      </c>
      <c r="J49" s="137"/>
      <c r="K49" s="40">
        <v>39599</v>
      </c>
      <c r="L49" s="41">
        <f t="shared" si="0"/>
        <v>0.64</v>
      </c>
      <c r="M49" s="78">
        <f t="shared" si="1"/>
        <v>0.42666666666666675</v>
      </c>
      <c r="O49" s="5"/>
      <c r="P49" s="5"/>
      <c r="Q49" s="5"/>
      <c r="R49" s="5"/>
    </row>
    <row r="50" spans="2:18" x14ac:dyDescent="0.2">
      <c r="B50" s="22"/>
      <c r="C50" s="30" t="s">
        <v>16</v>
      </c>
      <c r="D50" s="163">
        <v>3497.7</v>
      </c>
      <c r="E50" s="98">
        <v>0.43</v>
      </c>
      <c r="F50" s="46">
        <v>0.87</v>
      </c>
      <c r="G50" s="46">
        <v>2.19</v>
      </c>
      <c r="H50" s="46">
        <v>2.76</v>
      </c>
      <c r="I50" s="21">
        <v>5.2</v>
      </c>
      <c r="J50" s="137"/>
      <c r="K50" s="40">
        <v>39629</v>
      </c>
      <c r="L50" s="41">
        <f t="shared" si="0"/>
        <v>0.36</v>
      </c>
      <c r="M50" s="78">
        <f t="shared" si="1"/>
        <v>0.41583333333333328</v>
      </c>
      <c r="O50" s="5"/>
      <c r="P50" s="5"/>
      <c r="Q50" s="5"/>
      <c r="R50" s="5"/>
    </row>
    <row r="51" spans="2:18" x14ac:dyDescent="0.2">
      <c r="B51" s="22"/>
      <c r="C51" s="31" t="s">
        <v>17</v>
      </c>
      <c r="D51" s="140">
        <v>3512.04</v>
      </c>
      <c r="E51" s="99">
        <v>0.41</v>
      </c>
      <c r="F51" s="46">
        <v>0.92</v>
      </c>
      <c r="G51" s="32">
        <v>2.15</v>
      </c>
      <c r="H51" s="32">
        <v>3.18</v>
      </c>
      <c r="I51" s="33">
        <v>5.24</v>
      </c>
      <c r="J51" s="137"/>
      <c r="K51" s="40">
        <v>39660</v>
      </c>
      <c r="L51" s="41">
        <f t="shared" si="0"/>
        <v>0.08</v>
      </c>
      <c r="M51" s="78">
        <f t="shared" si="1"/>
        <v>0.40666666666666673</v>
      </c>
      <c r="O51" s="5"/>
      <c r="P51" s="5"/>
      <c r="Q51" s="5"/>
      <c r="R51" s="5"/>
    </row>
    <row r="52" spans="2:18" x14ac:dyDescent="0.2">
      <c r="B52" s="22"/>
      <c r="C52" s="31" t="s">
        <v>18</v>
      </c>
      <c r="D52" s="140">
        <v>3532.06</v>
      </c>
      <c r="E52" s="99">
        <v>0.56999999999999995</v>
      </c>
      <c r="F52" s="46">
        <v>1.42</v>
      </c>
      <c r="G52" s="32">
        <v>2.5099999999999998</v>
      </c>
      <c r="H52" s="32">
        <v>3.77</v>
      </c>
      <c r="I52" s="33">
        <v>5.28</v>
      </c>
      <c r="J52" s="137"/>
      <c r="K52" s="40">
        <v>39691</v>
      </c>
      <c r="L52" s="41">
        <f t="shared" si="0"/>
        <v>0.43</v>
      </c>
      <c r="M52" s="78">
        <f t="shared" si="1"/>
        <v>0.40083333333333337</v>
      </c>
      <c r="O52" s="5"/>
      <c r="P52" s="5"/>
      <c r="Q52" s="5"/>
      <c r="R52" s="5"/>
    </row>
    <row r="53" spans="2:18" x14ac:dyDescent="0.2">
      <c r="B53" s="34"/>
      <c r="C53" s="31" t="s">
        <v>19</v>
      </c>
      <c r="D53" s="140">
        <v>3552.9</v>
      </c>
      <c r="E53" s="99">
        <v>0.59</v>
      </c>
      <c r="F53" s="46">
        <v>1.58</v>
      </c>
      <c r="G53" s="32">
        <v>2.46</v>
      </c>
      <c r="H53" s="32">
        <v>4.38</v>
      </c>
      <c r="I53" s="33">
        <v>5.45</v>
      </c>
      <c r="J53" s="137"/>
      <c r="K53" s="40">
        <v>39721</v>
      </c>
      <c r="L53" s="41">
        <f t="shared" si="0"/>
        <v>0.41</v>
      </c>
      <c r="M53" s="78">
        <f t="shared" si="1"/>
        <v>0.42333333333333334</v>
      </c>
      <c r="O53" s="5"/>
      <c r="P53" s="5"/>
      <c r="Q53" s="5"/>
      <c r="R53" s="5"/>
    </row>
    <row r="54" spans="2:18" x14ac:dyDescent="0.2">
      <c r="B54" s="34"/>
      <c r="C54" s="31" t="s">
        <v>20</v>
      </c>
      <c r="D54" s="140">
        <v>3574.22</v>
      </c>
      <c r="E54" s="99">
        <v>0.6</v>
      </c>
      <c r="F54" s="46">
        <v>1.77</v>
      </c>
      <c r="G54" s="32">
        <v>2.71</v>
      </c>
      <c r="H54" s="32">
        <v>5.01</v>
      </c>
      <c r="I54" s="33">
        <v>5.53</v>
      </c>
      <c r="J54" s="137"/>
      <c r="K54" s="40">
        <v>39752</v>
      </c>
      <c r="L54" s="41">
        <f t="shared" si="0"/>
        <v>0.56999999999999995</v>
      </c>
      <c r="M54" s="78">
        <f t="shared" si="1"/>
        <v>0.42666666666666669</v>
      </c>
      <c r="O54" s="5"/>
      <c r="P54" s="5"/>
      <c r="Q54" s="5"/>
      <c r="R54" s="5"/>
    </row>
    <row r="55" spans="2:18" x14ac:dyDescent="0.2">
      <c r="B55" s="34"/>
      <c r="C55" s="31" t="s">
        <v>21</v>
      </c>
      <c r="D55" s="140">
        <v>3602.46</v>
      </c>
      <c r="E55" s="99">
        <v>0.79</v>
      </c>
      <c r="F55" s="46">
        <v>1.99</v>
      </c>
      <c r="G55" s="32">
        <v>3.44</v>
      </c>
      <c r="H55" s="32">
        <v>5.84</v>
      </c>
      <c r="I55" s="33">
        <v>5.84</v>
      </c>
      <c r="J55" s="137"/>
      <c r="K55" s="40">
        <v>39782</v>
      </c>
      <c r="L55" s="41">
        <f t="shared" si="0"/>
        <v>0.59</v>
      </c>
      <c r="M55" s="78">
        <f t="shared" si="1"/>
        <v>0.43</v>
      </c>
      <c r="O55" s="5"/>
      <c r="P55" s="5"/>
      <c r="Q55" s="5"/>
      <c r="R55" s="5"/>
    </row>
    <row r="56" spans="2:18" x14ac:dyDescent="0.2">
      <c r="B56" s="19">
        <v>2013</v>
      </c>
      <c r="C56" s="35" t="s">
        <v>10</v>
      </c>
      <c r="D56" s="140">
        <v>3633.44</v>
      </c>
      <c r="E56" s="99">
        <v>0.86</v>
      </c>
      <c r="F56" s="46">
        <v>2.27</v>
      </c>
      <c r="G56" s="32">
        <v>3.88</v>
      </c>
      <c r="H56" s="32">
        <v>0.86</v>
      </c>
      <c r="I56" s="33">
        <v>6.15</v>
      </c>
      <c r="J56" s="137"/>
      <c r="K56" s="40">
        <v>39813</v>
      </c>
      <c r="L56" s="41">
        <f t="shared" si="0"/>
        <v>0.6</v>
      </c>
      <c r="M56" s="78">
        <f t="shared" si="1"/>
        <v>0.44333333333333336</v>
      </c>
      <c r="O56" s="5"/>
      <c r="P56" s="5"/>
      <c r="Q56" s="5"/>
      <c r="R56" s="5"/>
    </row>
    <row r="57" spans="2:18" x14ac:dyDescent="0.2">
      <c r="B57" s="19"/>
      <c r="C57" s="35" t="s">
        <v>11</v>
      </c>
      <c r="D57" s="140">
        <v>3655.24</v>
      </c>
      <c r="E57" s="99">
        <v>0.6</v>
      </c>
      <c r="F57" s="46">
        <v>2.27</v>
      </c>
      <c r="G57" s="32">
        <v>4.08</v>
      </c>
      <c r="H57" s="32">
        <v>1.47</v>
      </c>
      <c r="I57" s="33">
        <v>6.31</v>
      </c>
      <c r="J57" s="137"/>
      <c r="K57" s="40">
        <v>39844</v>
      </c>
      <c r="L57" s="41">
        <f t="shared" si="0"/>
        <v>0.79</v>
      </c>
      <c r="M57" s="78">
        <f t="shared" si="1"/>
        <v>0.44999999999999996</v>
      </c>
      <c r="O57" s="5"/>
      <c r="P57" s="5"/>
      <c r="Q57" s="5"/>
      <c r="R57" s="5"/>
    </row>
    <row r="58" spans="2:18" x14ac:dyDescent="0.2">
      <c r="B58" s="19"/>
      <c r="C58" s="35" t="s">
        <v>12</v>
      </c>
      <c r="D58" s="140">
        <v>3672.42</v>
      </c>
      <c r="E58" s="99">
        <v>0.47</v>
      </c>
      <c r="F58" s="46">
        <v>1.94</v>
      </c>
      <c r="G58" s="32">
        <v>3.97</v>
      </c>
      <c r="H58" s="32">
        <v>1.94</v>
      </c>
      <c r="I58" s="33">
        <v>6.59</v>
      </c>
      <c r="J58" s="137"/>
      <c r="K58" s="40">
        <v>39872</v>
      </c>
      <c r="L58" s="41">
        <f t="shared" si="0"/>
        <v>0.86</v>
      </c>
      <c r="M58" s="78">
        <f t="shared" si="1"/>
        <v>0.47416666666666663</v>
      </c>
      <c r="O58" s="5"/>
      <c r="P58" s="5"/>
      <c r="Q58" s="5"/>
      <c r="R58" s="5"/>
    </row>
    <row r="59" spans="2:18" x14ac:dyDescent="0.2">
      <c r="B59" s="36"/>
      <c r="C59" s="23" t="s">
        <v>13</v>
      </c>
      <c r="D59" s="140">
        <v>3692.62</v>
      </c>
      <c r="E59" s="99">
        <v>0.55000000000000004</v>
      </c>
      <c r="F59" s="46">
        <v>1.63</v>
      </c>
      <c r="G59" s="32">
        <v>3.93</v>
      </c>
      <c r="H59" s="32">
        <v>2.5</v>
      </c>
      <c r="I59" s="33">
        <v>6.49</v>
      </c>
      <c r="J59" s="137"/>
      <c r="K59" s="40">
        <v>39903</v>
      </c>
      <c r="L59" s="41">
        <f t="shared" si="0"/>
        <v>0.6</v>
      </c>
      <c r="M59" s="78">
        <f t="shared" si="1"/>
        <v>0.4991666666666667</v>
      </c>
      <c r="O59" s="5"/>
      <c r="P59" s="5"/>
      <c r="Q59" s="5"/>
      <c r="R59" s="5"/>
    </row>
    <row r="60" spans="2:18" x14ac:dyDescent="0.2">
      <c r="B60" s="19"/>
      <c r="C60" s="35" t="s">
        <v>14</v>
      </c>
      <c r="D60" s="140">
        <v>3706.28</v>
      </c>
      <c r="E60" s="99">
        <v>0.37</v>
      </c>
      <c r="F60" s="46">
        <v>1.4</v>
      </c>
      <c r="G60" s="32">
        <v>3.69</v>
      </c>
      <c r="H60" s="32">
        <v>2.88</v>
      </c>
      <c r="I60" s="33">
        <v>6.5</v>
      </c>
      <c r="J60" s="137"/>
      <c r="K60" s="40">
        <v>39933</v>
      </c>
      <c r="L60" s="41">
        <f t="shared" si="0"/>
        <v>0.47</v>
      </c>
      <c r="M60" s="78">
        <f t="shared" si="1"/>
        <v>0.5116666666666666</v>
      </c>
      <c r="O60" s="5"/>
      <c r="P60" s="5"/>
      <c r="Q60" s="5"/>
      <c r="R60" s="5"/>
    </row>
    <row r="61" spans="2:18" x14ac:dyDescent="0.2">
      <c r="B61" s="19"/>
      <c r="C61" s="35" t="s">
        <v>15</v>
      </c>
      <c r="D61" s="140">
        <v>3715.92</v>
      </c>
      <c r="E61" s="99">
        <v>0.26</v>
      </c>
      <c r="F61" s="46">
        <v>1.18</v>
      </c>
      <c r="G61" s="32">
        <v>3.15</v>
      </c>
      <c r="H61" s="32">
        <v>3.15</v>
      </c>
      <c r="I61" s="33">
        <v>6.7</v>
      </c>
      <c r="J61" s="137"/>
      <c r="K61" s="40">
        <v>39964</v>
      </c>
      <c r="L61" s="41">
        <f t="shared" si="0"/>
        <v>0.55000000000000004</v>
      </c>
      <c r="M61" s="78">
        <f t="shared" si="1"/>
        <v>0.53333333333333333</v>
      </c>
      <c r="O61" s="5"/>
      <c r="P61" s="5"/>
      <c r="Q61" s="5"/>
      <c r="R61" s="5"/>
    </row>
    <row r="62" spans="2:18" x14ac:dyDescent="0.2">
      <c r="B62" s="36"/>
      <c r="C62" s="23" t="s">
        <v>16</v>
      </c>
      <c r="D62" s="140">
        <v>3717.03</v>
      </c>
      <c r="E62" s="99">
        <v>0.03</v>
      </c>
      <c r="F62" s="46">
        <v>0.66</v>
      </c>
      <c r="G62" s="32">
        <v>2.2999999999999998</v>
      </c>
      <c r="H62" s="32">
        <v>3.18</v>
      </c>
      <c r="I62" s="33">
        <v>6.27</v>
      </c>
      <c r="J62" s="137"/>
      <c r="K62" s="40">
        <v>39994</v>
      </c>
      <c r="L62" s="41">
        <f t="shared" si="0"/>
        <v>0.37</v>
      </c>
      <c r="M62" s="78">
        <f t="shared" si="1"/>
        <v>0.52583333333333326</v>
      </c>
      <c r="O62" s="5"/>
      <c r="P62" s="5"/>
      <c r="Q62" s="5"/>
      <c r="R62" s="5"/>
    </row>
    <row r="63" spans="2:18" x14ac:dyDescent="0.2">
      <c r="B63" s="36"/>
      <c r="C63" s="23" t="s">
        <v>17</v>
      </c>
      <c r="D63" s="140">
        <v>3725.95</v>
      </c>
      <c r="E63" s="99">
        <v>0.24</v>
      </c>
      <c r="F63" s="46">
        <v>0.53</v>
      </c>
      <c r="G63" s="32">
        <v>1.93</v>
      </c>
      <c r="H63" s="32">
        <v>3.43</v>
      </c>
      <c r="I63" s="33">
        <v>6.09</v>
      </c>
      <c r="J63" s="137"/>
      <c r="K63" s="40">
        <v>40025</v>
      </c>
      <c r="L63" s="41">
        <f t="shared" si="0"/>
        <v>0.26</v>
      </c>
      <c r="M63" s="78">
        <f t="shared" si="1"/>
        <v>0.52666666666666662</v>
      </c>
      <c r="O63" s="5"/>
      <c r="P63" s="5"/>
      <c r="Q63" s="5"/>
      <c r="R63" s="5"/>
    </row>
    <row r="64" spans="2:18" x14ac:dyDescent="0.2">
      <c r="B64" s="36"/>
      <c r="C64" s="23" t="s">
        <v>18</v>
      </c>
      <c r="D64" s="140">
        <v>3738.99</v>
      </c>
      <c r="E64" s="99">
        <v>0.35</v>
      </c>
      <c r="F64" s="46">
        <v>0.62</v>
      </c>
      <c r="G64" s="32">
        <v>1.81</v>
      </c>
      <c r="H64" s="32">
        <v>3.79</v>
      </c>
      <c r="I64" s="33">
        <v>5.86</v>
      </c>
      <c r="J64" s="137"/>
      <c r="K64" s="40">
        <v>40056</v>
      </c>
      <c r="L64" s="41">
        <f t="shared" si="0"/>
        <v>0.03</v>
      </c>
      <c r="M64" s="78">
        <f t="shared" si="1"/>
        <v>0.54166666666666663</v>
      </c>
      <c r="O64" s="5"/>
      <c r="P64" s="5"/>
      <c r="Q64" s="5"/>
      <c r="R64" s="5"/>
    </row>
    <row r="65" spans="2:18" x14ac:dyDescent="0.2">
      <c r="B65" s="36"/>
      <c r="C65" s="23" t="s">
        <v>19</v>
      </c>
      <c r="D65" s="140">
        <v>3760.3</v>
      </c>
      <c r="E65" s="99">
        <v>0.56999999999999995</v>
      </c>
      <c r="F65" s="46">
        <v>1.1599999999999999</v>
      </c>
      <c r="G65" s="32">
        <v>1.83</v>
      </c>
      <c r="H65" s="32">
        <v>4.38</v>
      </c>
      <c r="I65" s="33">
        <v>5.84</v>
      </c>
      <c r="J65" s="137"/>
      <c r="K65" s="40">
        <v>40086</v>
      </c>
      <c r="L65" s="41">
        <f t="shared" si="0"/>
        <v>0.24</v>
      </c>
      <c r="M65" s="78">
        <f t="shared" si="1"/>
        <v>0.5083333333333333</v>
      </c>
      <c r="O65" s="5"/>
      <c r="P65" s="5"/>
      <c r="Q65" s="5"/>
      <c r="R65" s="5"/>
    </row>
    <row r="66" spans="2:18" x14ac:dyDescent="0.2">
      <c r="B66" s="36"/>
      <c r="C66" s="23" t="s">
        <v>20</v>
      </c>
      <c r="D66" s="140">
        <v>3780.61</v>
      </c>
      <c r="E66" s="99">
        <v>0.54</v>
      </c>
      <c r="F66" s="46">
        <v>1.47</v>
      </c>
      <c r="G66" s="32">
        <v>2.0099999999999998</v>
      </c>
      <c r="H66" s="32">
        <v>4.95</v>
      </c>
      <c r="I66" s="33">
        <v>5.77</v>
      </c>
      <c r="J66" s="137"/>
      <c r="K66" s="40">
        <v>40117</v>
      </c>
      <c r="L66" s="41">
        <f t="shared" si="0"/>
        <v>0.35</v>
      </c>
      <c r="M66" s="78">
        <f t="shared" si="1"/>
        <v>0.49416666666666664</v>
      </c>
      <c r="O66" s="5"/>
      <c r="P66" s="5"/>
      <c r="Q66" s="5"/>
      <c r="R66" s="5"/>
    </row>
    <row r="67" spans="2:18" x14ac:dyDescent="0.2">
      <c r="B67" s="36"/>
      <c r="C67" s="23" t="s">
        <v>21</v>
      </c>
      <c r="D67" s="140">
        <v>3815.39</v>
      </c>
      <c r="E67" s="99">
        <v>0.92</v>
      </c>
      <c r="F67" s="46">
        <v>2.04</v>
      </c>
      <c r="G67" s="32">
        <v>2.68</v>
      </c>
      <c r="H67" s="32">
        <v>5.91</v>
      </c>
      <c r="I67" s="33">
        <v>5.91</v>
      </c>
      <c r="J67" s="137"/>
      <c r="K67" s="40">
        <v>40147</v>
      </c>
      <c r="L67" s="41">
        <f t="shared" si="0"/>
        <v>0.56999999999999995</v>
      </c>
      <c r="M67" s="78">
        <f t="shared" si="1"/>
        <v>0.47583333333333333</v>
      </c>
      <c r="O67" s="5"/>
      <c r="P67" s="5"/>
      <c r="Q67" s="5"/>
      <c r="R67" s="5"/>
    </row>
    <row r="68" spans="2:18" x14ac:dyDescent="0.2">
      <c r="B68" s="19">
        <v>2014</v>
      </c>
      <c r="C68" s="35" t="s">
        <v>10</v>
      </c>
      <c r="D68" s="140">
        <v>3836.37</v>
      </c>
      <c r="E68" s="99">
        <v>0.55000000000000004</v>
      </c>
      <c r="F68" s="46">
        <v>2.02</v>
      </c>
      <c r="G68" s="32">
        <v>3.21</v>
      </c>
      <c r="H68" s="32">
        <v>0.55000000000000004</v>
      </c>
      <c r="I68" s="33">
        <v>5.59</v>
      </c>
      <c r="J68" s="137"/>
      <c r="K68" s="40">
        <v>40178</v>
      </c>
      <c r="L68" s="41">
        <f t="shared" si="0"/>
        <v>0.54</v>
      </c>
      <c r="M68" s="78">
        <f t="shared" si="1"/>
        <v>0.47416666666666668</v>
      </c>
      <c r="O68" s="5"/>
      <c r="P68" s="5"/>
      <c r="Q68" s="5"/>
      <c r="R68" s="5"/>
    </row>
    <row r="69" spans="2:18" x14ac:dyDescent="0.2">
      <c r="B69" s="36"/>
      <c r="C69" s="23" t="s">
        <v>11</v>
      </c>
      <c r="D69" s="140">
        <v>3862.84</v>
      </c>
      <c r="E69" s="99">
        <v>0.69</v>
      </c>
      <c r="F69" s="46">
        <v>2.1800000000000002</v>
      </c>
      <c r="G69" s="32">
        <v>3.67</v>
      </c>
      <c r="H69" s="32">
        <v>1.24</v>
      </c>
      <c r="I69" s="33">
        <v>5.68</v>
      </c>
      <c r="J69" s="137"/>
      <c r="K69" s="40">
        <v>40209</v>
      </c>
      <c r="L69" s="41">
        <f t="shared" si="0"/>
        <v>0.92</v>
      </c>
      <c r="M69" s="78">
        <f t="shared" si="1"/>
        <v>0.46916666666666657</v>
      </c>
      <c r="O69" s="5"/>
      <c r="P69" s="5"/>
      <c r="Q69" s="5"/>
      <c r="R69" s="5"/>
    </row>
    <row r="70" spans="2:18" x14ac:dyDescent="0.2">
      <c r="B70" s="36"/>
      <c r="C70" s="23" t="s">
        <v>12</v>
      </c>
      <c r="D70" s="140">
        <v>3898.38</v>
      </c>
      <c r="E70" s="99">
        <v>0.92</v>
      </c>
      <c r="F70" s="46">
        <v>2.1800000000000002</v>
      </c>
      <c r="G70" s="32">
        <v>4.26</v>
      </c>
      <c r="H70" s="32">
        <v>2.1800000000000002</v>
      </c>
      <c r="I70" s="33">
        <v>6.15</v>
      </c>
      <c r="J70" s="137"/>
      <c r="K70" s="40">
        <v>40237</v>
      </c>
      <c r="L70" s="41">
        <f t="shared" si="0"/>
        <v>0.55000000000000004</v>
      </c>
      <c r="M70" s="78">
        <f t="shared" si="1"/>
        <v>0.48</v>
      </c>
      <c r="O70" s="5"/>
      <c r="P70" s="5"/>
      <c r="Q70" s="5"/>
      <c r="R70" s="5"/>
    </row>
    <row r="71" spans="2:18" x14ac:dyDescent="0.2">
      <c r="B71" s="36"/>
      <c r="C71" s="23" t="s">
        <v>13</v>
      </c>
      <c r="D71" s="140">
        <v>3924.5</v>
      </c>
      <c r="E71" s="99">
        <v>0.67</v>
      </c>
      <c r="F71" s="46">
        <v>2.2999999999999998</v>
      </c>
      <c r="G71" s="32">
        <v>4.37</v>
      </c>
      <c r="H71" s="32">
        <v>2.86</v>
      </c>
      <c r="I71" s="33">
        <v>6.28</v>
      </c>
      <c r="J71" s="137"/>
      <c r="K71" s="40">
        <v>40268</v>
      </c>
      <c r="L71" s="41">
        <f t="shared" si="0"/>
        <v>0.69</v>
      </c>
      <c r="M71" s="78">
        <f t="shared" si="1"/>
        <v>0.45416666666666661</v>
      </c>
      <c r="O71" s="5"/>
      <c r="P71" s="5"/>
      <c r="Q71" s="5"/>
      <c r="R71" s="5"/>
    </row>
    <row r="72" spans="2:18" x14ac:dyDescent="0.2">
      <c r="B72" s="36"/>
      <c r="C72" s="23" t="s">
        <v>14</v>
      </c>
      <c r="D72" s="140">
        <v>3942.55</v>
      </c>
      <c r="E72" s="99">
        <v>0.46</v>
      </c>
      <c r="F72" s="46">
        <v>2.06</v>
      </c>
      <c r="G72" s="32">
        <v>4.28</v>
      </c>
      <c r="H72" s="32">
        <v>3.33</v>
      </c>
      <c r="I72" s="33">
        <v>6.37</v>
      </c>
      <c r="J72" s="137"/>
      <c r="K72" s="40">
        <v>40298</v>
      </c>
      <c r="L72" s="41">
        <f t="shared" si="0"/>
        <v>0.92</v>
      </c>
      <c r="M72" s="78">
        <f t="shared" si="1"/>
        <v>0.46166666666666661</v>
      </c>
      <c r="O72" s="5"/>
      <c r="P72" s="5"/>
      <c r="Q72" s="5"/>
      <c r="R72" s="5"/>
    </row>
    <row r="73" spans="2:18" x14ac:dyDescent="0.2">
      <c r="B73" s="36"/>
      <c r="C73" s="23" t="s">
        <v>15</v>
      </c>
      <c r="D73" s="140">
        <v>3958.32</v>
      </c>
      <c r="E73" s="99">
        <v>0.4</v>
      </c>
      <c r="F73" s="46">
        <v>1.54</v>
      </c>
      <c r="G73" s="32">
        <v>3.75</v>
      </c>
      <c r="H73" s="32">
        <v>3.75</v>
      </c>
      <c r="I73" s="33">
        <v>6.52</v>
      </c>
      <c r="J73" s="137"/>
      <c r="K73" s="40">
        <v>40329</v>
      </c>
      <c r="L73" s="41">
        <f t="shared" si="0"/>
        <v>0.67</v>
      </c>
      <c r="M73" s="78">
        <f t="shared" si="1"/>
        <v>0.4991666666666667</v>
      </c>
      <c r="O73" s="5"/>
      <c r="P73" s="5"/>
      <c r="Q73" s="5"/>
      <c r="R73" s="5"/>
    </row>
    <row r="74" spans="2:18" x14ac:dyDescent="0.2">
      <c r="B74" s="36"/>
      <c r="C74" s="23" t="s">
        <v>16</v>
      </c>
      <c r="D74" s="140">
        <v>3958.72</v>
      </c>
      <c r="E74" s="99">
        <v>0.01</v>
      </c>
      <c r="F74" s="46">
        <v>0.87</v>
      </c>
      <c r="G74" s="32">
        <v>3.19</v>
      </c>
      <c r="H74" s="32">
        <v>3.76</v>
      </c>
      <c r="I74" s="33">
        <v>6.5</v>
      </c>
      <c r="J74" s="137"/>
      <c r="K74" s="40">
        <v>40359</v>
      </c>
      <c r="L74" s="41">
        <f t="shared" ref="L74:L111" si="2">IF(E72=0,L73,E72)</f>
        <v>0.46</v>
      </c>
      <c r="M74" s="78">
        <f t="shared" si="1"/>
        <v>0.50916666666666666</v>
      </c>
      <c r="O74" s="5"/>
      <c r="P74" s="5"/>
      <c r="Q74" s="5"/>
      <c r="R74" s="5"/>
    </row>
    <row r="75" spans="2:18" x14ac:dyDescent="0.2">
      <c r="B75" s="36"/>
      <c r="C75" s="23" t="s">
        <v>17</v>
      </c>
      <c r="D75" s="140">
        <v>3968.62</v>
      </c>
      <c r="E75" s="99">
        <v>0.25</v>
      </c>
      <c r="F75" s="46">
        <v>0.66</v>
      </c>
      <c r="G75" s="32">
        <v>2.74</v>
      </c>
      <c r="H75" s="32">
        <v>4.0199999999999996</v>
      </c>
      <c r="I75" s="33">
        <v>6.51</v>
      </c>
      <c r="J75" s="137"/>
      <c r="K75" s="40">
        <v>40390</v>
      </c>
      <c r="L75" s="41">
        <f t="shared" si="2"/>
        <v>0.4</v>
      </c>
      <c r="M75" s="78">
        <f t="shared" si="1"/>
        <v>0.51666666666666672</v>
      </c>
      <c r="O75" s="5"/>
      <c r="P75" s="5"/>
      <c r="Q75" s="5"/>
      <c r="R75" s="5"/>
    </row>
    <row r="76" spans="2:18" x14ac:dyDescent="0.2">
      <c r="B76" s="36"/>
      <c r="C76" s="23" t="s">
        <v>18</v>
      </c>
      <c r="D76" s="140">
        <v>3991.24</v>
      </c>
      <c r="E76" s="99">
        <v>0.56999999999999995</v>
      </c>
      <c r="F76" s="46">
        <v>0.83</v>
      </c>
      <c r="G76" s="32">
        <v>2.38</v>
      </c>
      <c r="H76" s="32">
        <v>4.6100000000000003</v>
      </c>
      <c r="I76" s="33">
        <v>6.75</v>
      </c>
      <c r="J76" s="137"/>
      <c r="K76" s="40">
        <v>40421</v>
      </c>
      <c r="L76" s="41">
        <f t="shared" si="2"/>
        <v>0.01</v>
      </c>
      <c r="M76" s="78">
        <f t="shared" si="1"/>
        <v>0.52833333333333343</v>
      </c>
      <c r="O76" s="5"/>
      <c r="P76" s="5"/>
      <c r="Q76" s="5"/>
      <c r="R76" s="5"/>
    </row>
    <row r="77" spans="2:18" x14ac:dyDescent="0.2">
      <c r="B77" s="36"/>
      <c r="C77" s="23" t="s">
        <v>19</v>
      </c>
      <c r="D77" s="140">
        <v>4008</v>
      </c>
      <c r="E77" s="99">
        <v>0.42</v>
      </c>
      <c r="F77" s="46">
        <v>1.24</v>
      </c>
      <c r="G77" s="32">
        <v>2.13</v>
      </c>
      <c r="H77" s="32">
        <v>5.05</v>
      </c>
      <c r="I77" s="33">
        <v>6.59</v>
      </c>
      <c r="J77" s="137"/>
      <c r="K77" s="40">
        <v>40451</v>
      </c>
      <c r="L77" s="41">
        <f t="shared" si="2"/>
        <v>0.25</v>
      </c>
      <c r="M77" s="78">
        <f t="shared" si="1"/>
        <v>0.52666666666666673</v>
      </c>
      <c r="O77" s="5"/>
      <c r="P77" s="5"/>
      <c r="Q77" s="5"/>
      <c r="R77" s="5"/>
    </row>
    <row r="78" spans="2:18" x14ac:dyDescent="0.2">
      <c r="B78" s="36"/>
      <c r="C78" s="23" t="s">
        <v>20</v>
      </c>
      <c r="D78" s="140">
        <v>4028.44</v>
      </c>
      <c r="E78" s="99">
        <v>0.51</v>
      </c>
      <c r="F78" s="46">
        <v>1.51</v>
      </c>
      <c r="G78" s="32">
        <v>2.1800000000000002</v>
      </c>
      <c r="H78" s="32">
        <v>5.58</v>
      </c>
      <c r="I78" s="33">
        <v>6.56</v>
      </c>
      <c r="J78" s="137"/>
      <c r="K78" s="40">
        <v>40482</v>
      </c>
      <c r="L78" s="41">
        <f t="shared" si="2"/>
        <v>0.56999999999999995</v>
      </c>
      <c r="M78" s="78">
        <f t="shared" si="1"/>
        <v>0.52749999999999997</v>
      </c>
      <c r="O78" s="5"/>
      <c r="P78" s="5"/>
      <c r="Q78" s="5"/>
      <c r="R78" s="5"/>
    </row>
    <row r="79" spans="2:18" x14ac:dyDescent="0.2">
      <c r="B79" s="19"/>
      <c r="C79" s="35" t="s">
        <v>21</v>
      </c>
      <c r="D79" s="140">
        <v>4059.86</v>
      </c>
      <c r="E79" s="99">
        <v>0.78</v>
      </c>
      <c r="F79" s="46">
        <v>1.72</v>
      </c>
      <c r="G79" s="32">
        <v>2.57</v>
      </c>
      <c r="H79" s="32">
        <v>6.41</v>
      </c>
      <c r="I79" s="33">
        <v>6.41</v>
      </c>
      <c r="J79" s="137"/>
      <c r="K79" s="40">
        <v>40512</v>
      </c>
      <c r="L79" s="41">
        <f t="shared" si="2"/>
        <v>0.42</v>
      </c>
      <c r="M79" s="78">
        <f t="shared" si="1"/>
        <v>0.54583333333333339</v>
      </c>
      <c r="O79" s="5"/>
      <c r="P79" s="5"/>
      <c r="Q79" s="5"/>
      <c r="R79" s="5"/>
    </row>
    <row r="80" spans="2:18" x14ac:dyDescent="0.2">
      <c r="B80" s="19">
        <v>2015</v>
      </c>
      <c r="C80" s="35" t="s">
        <v>10</v>
      </c>
      <c r="D80" s="140">
        <v>4110.2</v>
      </c>
      <c r="E80" s="99">
        <v>1.24</v>
      </c>
      <c r="F80" s="46">
        <v>2.5499999999999998</v>
      </c>
      <c r="G80" s="32">
        <v>3.83</v>
      </c>
      <c r="H80" s="32">
        <v>1.24</v>
      </c>
      <c r="I80" s="33">
        <v>7.14</v>
      </c>
      <c r="J80" s="137"/>
      <c r="K80" s="40">
        <v>40543</v>
      </c>
      <c r="L80" s="41">
        <f t="shared" si="2"/>
        <v>0.51</v>
      </c>
      <c r="M80" s="78">
        <f t="shared" si="1"/>
        <v>0.53333333333333333</v>
      </c>
      <c r="O80" s="5"/>
      <c r="P80" s="5"/>
      <c r="Q80" s="5"/>
      <c r="R80" s="5"/>
    </row>
    <row r="81" spans="2:21" x14ac:dyDescent="0.2">
      <c r="B81" s="36"/>
      <c r="C81" s="23" t="s">
        <v>11</v>
      </c>
      <c r="D81" s="140">
        <v>4160.34</v>
      </c>
      <c r="E81" s="99">
        <v>1.22</v>
      </c>
      <c r="F81" s="46">
        <v>3.27</v>
      </c>
      <c r="G81" s="32">
        <v>4.83</v>
      </c>
      <c r="H81" s="32">
        <v>2.48</v>
      </c>
      <c r="I81" s="33">
        <v>7.7</v>
      </c>
      <c r="J81" s="137"/>
      <c r="K81" s="40">
        <v>40574</v>
      </c>
      <c r="L81" s="41">
        <f t="shared" si="2"/>
        <v>0.78</v>
      </c>
      <c r="M81" s="78">
        <f t="shared" si="1"/>
        <v>0.53083333333333338</v>
      </c>
      <c r="O81" s="5"/>
      <c r="P81" s="5"/>
      <c r="Q81" s="5"/>
      <c r="R81" s="5"/>
    </row>
    <row r="82" spans="2:21" x14ac:dyDescent="0.2">
      <c r="B82" s="19"/>
      <c r="C82" s="35" t="s">
        <v>12</v>
      </c>
      <c r="D82" s="140">
        <v>4215.26</v>
      </c>
      <c r="E82" s="99">
        <v>1.32</v>
      </c>
      <c r="F82" s="46">
        <v>3.83</v>
      </c>
      <c r="G82" s="32">
        <v>5.61</v>
      </c>
      <c r="H82" s="32">
        <v>3.83</v>
      </c>
      <c r="I82" s="33">
        <v>8.1300000000000008</v>
      </c>
      <c r="J82" s="137"/>
      <c r="K82" s="40">
        <v>40602</v>
      </c>
      <c r="L82" s="41">
        <f t="shared" si="2"/>
        <v>1.24</v>
      </c>
      <c r="M82" s="78">
        <f t="shared" si="1"/>
        <v>0.51916666666666667</v>
      </c>
      <c r="O82" s="5"/>
      <c r="P82" s="5"/>
      <c r="Q82" s="5"/>
      <c r="R82" s="5"/>
    </row>
    <row r="83" spans="2:21" x14ac:dyDescent="0.2">
      <c r="B83" s="36"/>
      <c r="C83" s="23" t="s">
        <v>13</v>
      </c>
      <c r="D83" s="140">
        <v>4245.1899999999996</v>
      </c>
      <c r="E83" s="99">
        <v>0.71</v>
      </c>
      <c r="F83" s="46">
        <v>3.28</v>
      </c>
      <c r="G83" s="32">
        <v>5.92</v>
      </c>
      <c r="H83" s="32">
        <v>4.5599999999999996</v>
      </c>
      <c r="I83" s="33">
        <v>8.17</v>
      </c>
      <c r="J83" s="137"/>
      <c r="K83" s="40">
        <v>40633</v>
      </c>
      <c r="L83" s="41">
        <f t="shared" si="2"/>
        <v>1.22</v>
      </c>
      <c r="M83" s="78">
        <f t="shared" si="1"/>
        <v>0.57666666666666666</v>
      </c>
      <c r="O83" s="5"/>
      <c r="P83" s="5"/>
      <c r="Q83" s="5"/>
      <c r="R83" s="5"/>
    </row>
    <row r="84" spans="2:21" x14ac:dyDescent="0.2">
      <c r="B84" s="36"/>
      <c r="C84" s="23" t="s">
        <v>14</v>
      </c>
      <c r="D84" s="140">
        <v>4276.6000000000004</v>
      </c>
      <c r="E84" s="99">
        <v>0.74</v>
      </c>
      <c r="F84" s="46">
        <v>2.79</v>
      </c>
      <c r="G84" s="32">
        <v>6.16</v>
      </c>
      <c r="H84" s="32">
        <v>5.34</v>
      </c>
      <c r="I84" s="33">
        <v>8.4700000000000006</v>
      </c>
      <c r="J84" s="137"/>
      <c r="K84" s="40">
        <v>40663</v>
      </c>
      <c r="L84" s="41">
        <f t="shared" si="2"/>
        <v>1.32</v>
      </c>
      <c r="M84" s="78">
        <f t="shared" si="1"/>
        <v>0.62083333333333335</v>
      </c>
      <c r="O84" s="5"/>
      <c r="P84" s="5"/>
      <c r="Q84" s="5"/>
      <c r="R84" s="5"/>
    </row>
    <row r="85" spans="2:21" x14ac:dyDescent="0.2">
      <c r="B85" s="36"/>
      <c r="C85" s="23" t="s">
        <v>15</v>
      </c>
      <c r="D85" s="140">
        <v>4310.3900000000003</v>
      </c>
      <c r="E85" s="99">
        <v>0.79</v>
      </c>
      <c r="F85" s="46">
        <v>2.2599999999999998</v>
      </c>
      <c r="G85" s="32">
        <v>6.17</v>
      </c>
      <c r="H85" s="32">
        <v>6.17</v>
      </c>
      <c r="I85" s="33">
        <v>8.89</v>
      </c>
      <c r="J85" s="137"/>
      <c r="K85" s="40">
        <v>40694</v>
      </c>
      <c r="L85" s="41">
        <f t="shared" si="2"/>
        <v>0.71</v>
      </c>
      <c r="M85" s="78">
        <f t="shared" si="1"/>
        <v>0.65416666666666667</v>
      </c>
      <c r="O85" s="5"/>
      <c r="P85" s="5"/>
      <c r="Q85" s="5"/>
      <c r="R85" s="5"/>
    </row>
    <row r="86" spans="2:21" x14ac:dyDescent="0.2">
      <c r="B86" s="19"/>
      <c r="C86" s="35" t="s">
        <v>16</v>
      </c>
      <c r="D86" s="140">
        <v>4337.1099999999997</v>
      </c>
      <c r="E86" s="99">
        <v>0.62</v>
      </c>
      <c r="F86" s="46">
        <v>2.17</v>
      </c>
      <c r="G86" s="32">
        <v>5.52</v>
      </c>
      <c r="H86" s="32">
        <v>6.83</v>
      </c>
      <c r="I86" s="33">
        <v>9.56</v>
      </c>
      <c r="J86" s="137"/>
      <c r="K86" s="40">
        <v>40724</v>
      </c>
      <c r="L86" s="41">
        <f t="shared" si="2"/>
        <v>0.74</v>
      </c>
      <c r="M86" s="78">
        <f t="shared" si="1"/>
        <v>0.65750000000000008</v>
      </c>
      <c r="O86" s="5"/>
      <c r="P86" s="5"/>
      <c r="Q86" s="5"/>
      <c r="R86" s="5"/>
    </row>
    <row r="87" spans="2:21" x14ac:dyDescent="0.2">
      <c r="B87" s="36"/>
      <c r="C87" s="23" t="s">
        <v>17</v>
      </c>
      <c r="D87" s="140">
        <v>4346.6499999999996</v>
      </c>
      <c r="E87" s="99">
        <v>0.22</v>
      </c>
      <c r="F87" s="46">
        <v>1.64</v>
      </c>
      <c r="G87" s="32">
        <v>4.4800000000000004</v>
      </c>
      <c r="H87" s="32">
        <v>7.06</v>
      </c>
      <c r="I87" s="33">
        <v>9.5299999999999994</v>
      </c>
      <c r="J87" s="137"/>
      <c r="K87" s="40">
        <v>40755</v>
      </c>
      <c r="L87" s="41">
        <f t="shared" si="2"/>
        <v>0.79</v>
      </c>
      <c r="M87" s="78">
        <f t="shared" ref="M87:M150" si="3">IF(L86="",M86,AVERAGE(L75:L86))</f>
        <v>0.68083333333333329</v>
      </c>
      <c r="O87" s="5"/>
      <c r="P87" s="5"/>
      <c r="Q87" s="5"/>
      <c r="R87" s="5"/>
    </row>
    <row r="88" spans="2:21" x14ac:dyDescent="0.2">
      <c r="B88" s="36"/>
      <c r="C88" s="23" t="s">
        <v>18</v>
      </c>
      <c r="D88" s="140">
        <v>4370.12</v>
      </c>
      <c r="E88" s="99">
        <v>0.54</v>
      </c>
      <c r="F88" s="46">
        <v>1.39</v>
      </c>
      <c r="G88" s="32">
        <v>3.67</v>
      </c>
      <c r="H88" s="32">
        <v>7.64</v>
      </c>
      <c r="I88" s="33">
        <v>9.49</v>
      </c>
      <c r="J88" s="137"/>
      <c r="K88" s="40">
        <v>40786</v>
      </c>
      <c r="L88" s="41">
        <f t="shared" si="2"/>
        <v>0.62</v>
      </c>
      <c r="M88" s="78">
        <f t="shared" si="3"/>
        <v>0.71333333333333337</v>
      </c>
      <c r="O88" s="5"/>
      <c r="P88" s="5"/>
      <c r="Q88" s="5"/>
      <c r="R88" s="5"/>
      <c r="S88" s="96"/>
      <c r="T88" s="96"/>
      <c r="U88" s="96"/>
    </row>
    <row r="89" spans="2:21" x14ac:dyDescent="0.2">
      <c r="B89" s="36"/>
      <c r="C89" s="23" t="s">
        <v>19</v>
      </c>
      <c r="D89" s="140">
        <v>4405.95</v>
      </c>
      <c r="E89" s="99">
        <v>0.82</v>
      </c>
      <c r="F89" s="46">
        <v>1.59</v>
      </c>
      <c r="G89" s="32">
        <v>3.79</v>
      </c>
      <c r="H89" s="32">
        <v>8.52</v>
      </c>
      <c r="I89" s="33">
        <v>9.93</v>
      </c>
      <c r="J89" s="137"/>
      <c r="K89" s="40">
        <v>40816</v>
      </c>
      <c r="L89" s="41">
        <f t="shared" si="2"/>
        <v>0.22</v>
      </c>
      <c r="M89" s="78">
        <f t="shared" si="3"/>
        <v>0.76416666666666666</v>
      </c>
      <c r="O89" s="5"/>
      <c r="P89" s="5"/>
      <c r="Q89" s="5"/>
      <c r="R89" s="5"/>
      <c r="S89" s="96"/>
      <c r="T89" s="96"/>
      <c r="U89" s="96"/>
    </row>
    <row r="90" spans="2:21" x14ac:dyDescent="0.2">
      <c r="B90" s="19"/>
      <c r="C90" s="35" t="s">
        <v>20</v>
      </c>
      <c r="D90" s="140">
        <v>4450.45</v>
      </c>
      <c r="E90" s="99">
        <v>1.01</v>
      </c>
      <c r="F90" s="46">
        <v>2.39</v>
      </c>
      <c r="G90" s="32">
        <v>4.07</v>
      </c>
      <c r="H90" s="32">
        <v>9.6199999999999992</v>
      </c>
      <c r="I90" s="33">
        <v>10.48</v>
      </c>
      <c r="J90" s="137"/>
      <c r="K90" s="40">
        <v>40847</v>
      </c>
      <c r="L90" s="41">
        <f t="shared" si="2"/>
        <v>0.54</v>
      </c>
      <c r="M90" s="78">
        <f t="shared" si="3"/>
        <v>0.76166666666666671</v>
      </c>
      <c r="O90" s="5"/>
      <c r="P90" s="5"/>
      <c r="Q90" s="5"/>
      <c r="R90" s="5"/>
      <c r="S90" s="96"/>
      <c r="T90" s="96"/>
      <c r="U90" s="96"/>
    </row>
    <row r="91" spans="2:21" x14ac:dyDescent="0.2">
      <c r="B91" s="36"/>
      <c r="C91" s="23" t="s">
        <v>21</v>
      </c>
      <c r="D91" s="140">
        <v>4493.17</v>
      </c>
      <c r="E91" s="99">
        <v>0.96</v>
      </c>
      <c r="F91" s="46">
        <v>2.82</v>
      </c>
      <c r="G91" s="32">
        <v>4.24</v>
      </c>
      <c r="H91" s="32">
        <v>10.67</v>
      </c>
      <c r="I91" s="33">
        <v>10.67</v>
      </c>
      <c r="J91" s="137"/>
      <c r="K91" s="40">
        <v>40877</v>
      </c>
      <c r="L91" s="41">
        <f>IF(E89=0,L90,E89)</f>
        <v>0.82</v>
      </c>
      <c r="M91" s="78">
        <f t="shared" si="3"/>
        <v>0.75916666666666666</v>
      </c>
      <c r="O91" s="5"/>
      <c r="P91" s="5"/>
      <c r="Q91" s="5"/>
      <c r="R91" s="5"/>
      <c r="S91" s="96"/>
      <c r="T91" s="96"/>
      <c r="U91" s="96"/>
    </row>
    <row r="92" spans="2:21" x14ac:dyDescent="0.2">
      <c r="B92" s="36">
        <v>2016</v>
      </c>
      <c r="C92" s="23" t="s">
        <v>10</v>
      </c>
      <c r="D92" s="140">
        <v>4550.2299999999996</v>
      </c>
      <c r="E92" s="99">
        <v>1.27</v>
      </c>
      <c r="F92" s="46">
        <v>3.27</v>
      </c>
      <c r="G92" s="32">
        <v>4.91</v>
      </c>
      <c r="H92" s="106">
        <f>(((D92/VLOOKUP("dez",$C$91:D95,2,FALSE)-1)*100))</f>
        <v>1.2699274676898353</v>
      </c>
      <c r="I92" s="33">
        <v>10.71</v>
      </c>
      <c r="J92" s="137"/>
      <c r="K92" s="40">
        <v>40908</v>
      </c>
      <c r="L92" s="41">
        <f>IF(E90=0,L91,E90)</f>
        <v>1.01</v>
      </c>
      <c r="M92" s="78">
        <f t="shared" si="3"/>
        <v>0.79250000000000009</v>
      </c>
      <c r="O92" s="5"/>
      <c r="P92" s="5"/>
      <c r="Q92" s="5"/>
      <c r="R92" s="5"/>
      <c r="S92" s="96"/>
      <c r="T92" s="96"/>
      <c r="U92" s="96"/>
    </row>
    <row r="93" spans="2:21" x14ac:dyDescent="0.2">
      <c r="B93" s="36"/>
      <c r="C93" s="23" t="s">
        <v>11</v>
      </c>
      <c r="D93" s="140">
        <v>4591.18</v>
      </c>
      <c r="E93" s="99">
        <v>0.9</v>
      </c>
      <c r="F93" s="46">
        <v>3.16</v>
      </c>
      <c r="G93" s="32">
        <v>5.63</v>
      </c>
      <c r="H93" s="106">
        <f>(((D93/VLOOKUP("dez",$C$91:D96,2,FALSE)-1)*100))</f>
        <v>2.1813107449751623</v>
      </c>
      <c r="I93" s="33">
        <v>10.36</v>
      </c>
      <c r="J93" s="137"/>
      <c r="K93" s="40">
        <v>40939</v>
      </c>
      <c r="L93" s="41">
        <f>IF(E91=0,L92,E91)</f>
        <v>0.96</v>
      </c>
      <c r="M93" s="78">
        <f t="shared" si="3"/>
        <v>0.83416666666666661</v>
      </c>
      <c r="O93" s="5"/>
      <c r="P93" s="5"/>
      <c r="Q93" s="5"/>
      <c r="R93" s="5"/>
      <c r="S93" s="96"/>
      <c r="T93" s="96"/>
      <c r="U93" s="96"/>
    </row>
    <row r="94" spans="2:21" x14ac:dyDescent="0.2">
      <c r="B94" s="36"/>
      <c r="C94" s="23" t="s">
        <v>12</v>
      </c>
      <c r="D94" s="140">
        <v>4610.92</v>
      </c>
      <c r="E94" s="99">
        <v>0.43</v>
      </c>
      <c r="F94" s="46">
        <v>2.62</v>
      </c>
      <c r="G94" s="32">
        <v>5.51</v>
      </c>
      <c r="H94" s="106">
        <f>(((D94/VLOOKUP("dez",$C$91:D97,2,FALSE)-1)*100))</f>
        <v>2.6206442222306281</v>
      </c>
      <c r="I94" s="33">
        <v>9.39</v>
      </c>
      <c r="J94" s="137"/>
      <c r="K94" s="40">
        <v>40968</v>
      </c>
      <c r="L94" s="41">
        <f t="shared" si="2"/>
        <v>1.27</v>
      </c>
      <c r="M94" s="78">
        <f t="shared" si="3"/>
        <v>0.84916666666666674</v>
      </c>
      <c r="O94" s="5"/>
      <c r="P94" s="5"/>
      <c r="Q94" s="5"/>
      <c r="R94" s="5"/>
      <c r="S94" s="96"/>
      <c r="T94" s="96"/>
      <c r="U94" s="96"/>
    </row>
    <row r="95" spans="2:21" x14ac:dyDescent="0.2">
      <c r="B95" s="36"/>
      <c r="C95" s="23" t="s">
        <v>13</v>
      </c>
      <c r="D95" s="140">
        <v>4639.05</v>
      </c>
      <c r="E95" s="99">
        <v>0.61</v>
      </c>
      <c r="F95" s="46">
        <v>1.95</v>
      </c>
      <c r="G95" s="32">
        <v>5.29</v>
      </c>
      <c r="H95" s="106">
        <f>(((D95/VLOOKUP("dez",$C$91:D98,2,FALSE)-1)*100))</f>
        <v>3.2467055553206281</v>
      </c>
      <c r="I95" s="33">
        <v>9.2799999999999994</v>
      </c>
      <c r="J95" s="137"/>
      <c r="K95" s="40">
        <v>40999</v>
      </c>
      <c r="L95" s="41">
        <f t="shared" si="2"/>
        <v>0.9</v>
      </c>
      <c r="M95" s="78">
        <f t="shared" si="3"/>
        <v>0.85166666666666657</v>
      </c>
      <c r="O95" s="5"/>
      <c r="P95" s="5"/>
      <c r="Q95" s="5"/>
      <c r="R95" s="5"/>
      <c r="S95" s="96"/>
      <c r="T95" s="96"/>
      <c r="U95" s="96"/>
    </row>
    <row r="96" spans="2:21" x14ac:dyDescent="0.2">
      <c r="B96" s="36"/>
      <c r="C96" s="23" t="s">
        <v>14</v>
      </c>
      <c r="D96" s="140">
        <v>4675.2299999999996</v>
      </c>
      <c r="E96" s="99">
        <v>0.78</v>
      </c>
      <c r="F96" s="46">
        <v>1.83</v>
      </c>
      <c r="G96" s="32">
        <v>5.05</v>
      </c>
      <c r="H96" s="106">
        <f>(((D96/VLOOKUP("dez",$C$91:D99,2,FALSE)-1)*100))</f>
        <v>4.0519277036034529</v>
      </c>
      <c r="I96" s="33">
        <v>9.32</v>
      </c>
      <c r="J96" s="137"/>
      <c r="K96" s="40">
        <v>41029</v>
      </c>
      <c r="L96" s="41">
        <f t="shared" si="2"/>
        <v>0.43</v>
      </c>
      <c r="M96" s="78">
        <f t="shared" si="3"/>
        <v>0.82500000000000007</v>
      </c>
      <c r="O96" s="5"/>
      <c r="P96" s="5"/>
      <c r="Q96" s="5"/>
      <c r="R96" s="5"/>
      <c r="S96" s="96"/>
      <c r="T96" s="96"/>
      <c r="U96" s="96"/>
    </row>
    <row r="97" spans="1:23" x14ac:dyDescent="0.2">
      <c r="B97" s="36"/>
      <c r="C97" s="23" t="s">
        <v>15</v>
      </c>
      <c r="D97" s="140">
        <v>4691.59</v>
      </c>
      <c r="E97" s="99">
        <v>0.35</v>
      </c>
      <c r="F97" s="46">
        <v>1.75</v>
      </c>
      <c r="G97" s="32">
        <v>4.42</v>
      </c>
      <c r="H97" s="106">
        <f>(((D97/VLOOKUP("dez",$C$91:D100,2,FALSE)-1)*100))</f>
        <v>4.4160358944798528</v>
      </c>
      <c r="I97" s="33">
        <v>8.84</v>
      </c>
      <c r="J97" s="137"/>
      <c r="K97" s="40">
        <v>41060</v>
      </c>
      <c r="L97" s="41">
        <f t="shared" si="2"/>
        <v>0.61</v>
      </c>
      <c r="M97" s="78">
        <f t="shared" si="3"/>
        <v>0.75083333333333335</v>
      </c>
      <c r="O97" s="5"/>
      <c r="P97" s="5"/>
      <c r="Q97" s="5"/>
      <c r="R97" s="5"/>
      <c r="S97" s="96"/>
      <c r="T97" s="96"/>
      <c r="U97" s="96"/>
    </row>
    <row r="98" spans="1:23" x14ac:dyDescent="0.2">
      <c r="B98" s="36"/>
      <c r="C98" s="23" t="s">
        <v>16</v>
      </c>
      <c r="D98" s="140">
        <v>4715.99</v>
      </c>
      <c r="E98" s="99">
        <v>0.52</v>
      </c>
      <c r="F98" s="46">
        <v>1.66</v>
      </c>
      <c r="G98" s="32">
        <v>3.64</v>
      </c>
      <c r="H98" s="106">
        <f>(((D98/VLOOKUP("dez",$C$91:D101,2,FALSE)-1)*100))</f>
        <v>4.9590823405301743</v>
      </c>
      <c r="I98" s="33">
        <v>8.74</v>
      </c>
      <c r="J98" s="137"/>
      <c r="K98" s="40">
        <v>41090</v>
      </c>
      <c r="L98" s="41">
        <f t="shared" si="2"/>
        <v>0.78</v>
      </c>
      <c r="M98" s="78">
        <f t="shared" si="3"/>
        <v>0.74250000000000005</v>
      </c>
      <c r="O98" s="5"/>
      <c r="P98" s="5"/>
      <c r="Q98" s="5"/>
      <c r="R98" s="5"/>
      <c r="S98" s="96"/>
      <c r="T98" s="96"/>
      <c r="U98" s="96"/>
    </row>
    <row r="99" spans="1:23" x14ac:dyDescent="0.2">
      <c r="B99" s="36"/>
      <c r="C99" s="23" t="s">
        <v>17</v>
      </c>
      <c r="D99" s="140">
        <v>4736.74</v>
      </c>
      <c r="E99" s="99">
        <v>0.44</v>
      </c>
      <c r="F99" s="46">
        <v>1.32</v>
      </c>
      <c r="G99" s="32">
        <v>3.17</v>
      </c>
      <c r="H99" s="106">
        <f>(((D99/VLOOKUP("dez",$C$91:D102,2,FALSE)-1)*100))</f>
        <v>5.420894379691843</v>
      </c>
      <c r="I99" s="33">
        <v>8.9700000000000006</v>
      </c>
      <c r="J99" s="137"/>
      <c r="K99" s="40">
        <v>41121</v>
      </c>
      <c r="L99" s="41">
        <f t="shared" si="2"/>
        <v>0.35</v>
      </c>
      <c r="M99" s="78">
        <f t="shared" si="3"/>
        <v>0.74583333333333324</v>
      </c>
      <c r="O99" s="5"/>
      <c r="P99" s="5"/>
      <c r="Q99" s="5"/>
      <c r="R99" s="5"/>
      <c r="S99" s="96"/>
      <c r="T99" s="96"/>
      <c r="U99" s="96"/>
    </row>
    <row r="100" spans="1:23" x14ac:dyDescent="0.2">
      <c r="B100" s="19"/>
      <c r="C100" s="35" t="s">
        <v>18</v>
      </c>
      <c r="D100" s="140">
        <v>4740.53</v>
      </c>
      <c r="E100" s="99">
        <v>0.08</v>
      </c>
      <c r="F100" s="46">
        <v>1.04</v>
      </c>
      <c r="G100" s="32">
        <v>2.81</v>
      </c>
      <c r="H100" s="106">
        <f>(((D100/VLOOKUP("dez",$C$91:D103,2,FALSE)-1)*100))</f>
        <v>5.5052446268447408</v>
      </c>
      <c r="I100" s="33">
        <v>8.48</v>
      </c>
      <c r="J100" s="137"/>
      <c r="K100" s="40">
        <v>41152</v>
      </c>
      <c r="L100" s="41">
        <f t="shared" si="2"/>
        <v>0.52</v>
      </c>
      <c r="M100" s="78">
        <f t="shared" si="3"/>
        <v>0.70916666666666661</v>
      </c>
      <c r="O100" s="5"/>
      <c r="P100" s="5"/>
      <c r="Q100" s="5"/>
      <c r="R100" s="5"/>
      <c r="S100" s="96"/>
      <c r="T100" s="96"/>
      <c r="U100" s="96"/>
    </row>
    <row r="101" spans="1:23" x14ac:dyDescent="0.2">
      <c r="B101" s="36"/>
      <c r="C101" s="23" t="s">
        <v>19</v>
      </c>
      <c r="D101" s="140">
        <v>4752.8599999999997</v>
      </c>
      <c r="E101" s="99">
        <v>0.26</v>
      </c>
      <c r="F101" s="46">
        <v>0.78</v>
      </c>
      <c r="G101" s="32">
        <v>2.4500000000000002</v>
      </c>
      <c r="H101" s="106">
        <f>(((D101/VLOOKUP("dez",$C$91:D104,2,FALSE)-1)*100))</f>
        <v>5.7796611301152545</v>
      </c>
      <c r="I101" s="33">
        <v>7.87</v>
      </c>
      <c r="J101" s="137"/>
      <c r="K101" s="40">
        <v>41182</v>
      </c>
      <c r="L101" s="41">
        <f t="shared" si="2"/>
        <v>0.44</v>
      </c>
      <c r="M101" s="78">
        <f t="shared" si="3"/>
        <v>0.70083333333333331</v>
      </c>
      <c r="O101" s="5"/>
      <c r="P101" s="5"/>
      <c r="Q101" s="5"/>
      <c r="R101" s="5"/>
      <c r="S101" s="96"/>
      <c r="T101" s="96"/>
      <c r="U101" s="96"/>
    </row>
    <row r="102" spans="1:23" x14ac:dyDescent="0.2">
      <c r="B102" s="19"/>
      <c r="C102" s="35" t="s">
        <v>20</v>
      </c>
      <c r="D102" s="140">
        <v>4761.42</v>
      </c>
      <c r="E102" s="99">
        <v>0.18</v>
      </c>
      <c r="F102" s="46">
        <v>0.52</v>
      </c>
      <c r="G102" s="32">
        <v>1.84</v>
      </c>
      <c r="H102" s="106">
        <f>(((D102/VLOOKUP("dez",$C$91:D105,2,FALSE)-1)*100))</f>
        <v>5.9701725062706323</v>
      </c>
      <c r="I102" s="33">
        <v>6.99</v>
      </c>
      <c r="J102" s="137"/>
      <c r="K102" s="40">
        <v>41213</v>
      </c>
      <c r="L102" s="41">
        <f t="shared" si="2"/>
        <v>0.08</v>
      </c>
      <c r="M102" s="78">
        <f t="shared" si="3"/>
        <v>0.71916666666666662</v>
      </c>
      <c r="O102" s="5"/>
      <c r="P102" s="5"/>
      <c r="Q102" s="5"/>
      <c r="R102" s="5"/>
      <c r="S102" s="96"/>
      <c r="T102" s="96"/>
      <c r="U102" s="96"/>
    </row>
    <row r="103" spans="1:23" x14ac:dyDescent="0.2">
      <c r="B103" s="36"/>
      <c r="C103" s="23" t="s">
        <v>21</v>
      </c>
      <c r="D103" s="140">
        <v>4775.7</v>
      </c>
      <c r="E103" s="99">
        <v>0.3</v>
      </c>
      <c r="F103" s="46">
        <v>0.74</v>
      </c>
      <c r="G103" s="32">
        <v>1.79</v>
      </c>
      <c r="H103" s="106">
        <f>(((D103/VLOOKUP("dez",$C$91:D106,2,FALSE)-1)*100))</f>
        <v>6.2879882132213849</v>
      </c>
      <c r="I103" s="33">
        <v>6.29</v>
      </c>
      <c r="J103" s="137"/>
      <c r="K103" s="40">
        <v>41243</v>
      </c>
      <c r="L103" s="41">
        <f t="shared" si="2"/>
        <v>0.26</v>
      </c>
      <c r="M103" s="78">
        <f t="shared" si="3"/>
        <v>0.68083333333333329</v>
      </c>
      <c r="O103" s="5"/>
      <c r="P103" s="5"/>
      <c r="Q103" s="5"/>
      <c r="R103" s="5"/>
      <c r="S103" s="96"/>
      <c r="T103" s="96"/>
      <c r="U103" s="96"/>
    </row>
    <row r="104" spans="1:23" x14ac:dyDescent="0.2">
      <c r="A104" s="124"/>
      <c r="B104" s="36">
        <v>2017</v>
      </c>
      <c r="C104" s="122" t="s">
        <v>10</v>
      </c>
      <c r="D104" s="123">
        <v>4793.8500000000004</v>
      </c>
      <c r="E104" s="108">
        <v>0.38</v>
      </c>
      <c r="F104" s="46">
        <v>0.86</v>
      </c>
      <c r="G104" s="32">
        <v>1.65</v>
      </c>
      <c r="H104" s="106">
        <f>IF(E104="","",(((D104/VLOOKUP("dez",$C$103:D103,2,FALSE)-1)*100)))</f>
        <v>0.38004899805266223</v>
      </c>
      <c r="I104" s="107">
        <f t="shared" ref="I104:I115" si="4">IF(E104="","",(((D104/D92)-1)*100))</f>
        <v>5.3540150717656276</v>
      </c>
      <c r="J104" s="137"/>
      <c r="K104" s="40">
        <v>41274</v>
      </c>
      <c r="L104" s="41">
        <f t="shared" si="2"/>
        <v>0.18</v>
      </c>
      <c r="M104" s="78">
        <f t="shared" si="3"/>
        <v>0.63416666666666666</v>
      </c>
      <c r="O104" s="5"/>
      <c r="P104" s="5"/>
      <c r="Q104" s="5"/>
      <c r="R104" s="5"/>
      <c r="S104" s="96"/>
      <c r="T104" s="96"/>
      <c r="U104" s="96"/>
      <c r="V104" s="5"/>
      <c r="W104" s="5"/>
    </row>
    <row r="105" spans="1:23" x14ac:dyDescent="0.2">
      <c r="A105" s="119"/>
      <c r="B105" s="36"/>
      <c r="C105" s="23" t="s">
        <v>11</v>
      </c>
      <c r="D105" s="123">
        <v>4809.67</v>
      </c>
      <c r="E105" s="108">
        <v>0.33</v>
      </c>
      <c r="F105" s="46">
        <v>1.01</v>
      </c>
      <c r="G105" s="32">
        <v>1.54</v>
      </c>
      <c r="H105" s="106">
        <f>IF(E105="","",(((D105/VLOOKUP("dez",$C$103:D104,2,FALSE)-1)*100)))</f>
        <v>0.71130933685115139</v>
      </c>
      <c r="I105" s="107">
        <f t="shared" si="4"/>
        <v>4.7589072961635059</v>
      </c>
      <c r="J105" s="137"/>
      <c r="K105" s="40">
        <v>41305</v>
      </c>
      <c r="L105" s="41">
        <f t="shared" si="2"/>
        <v>0.3</v>
      </c>
      <c r="M105" s="78">
        <f t="shared" si="3"/>
        <v>0.56500000000000006</v>
      </c>
      <c r="O105" s="5"/>
      <c r="P105" s="5"/>
      <c r="Q105" s="5"/>
      <c r="R105" s="5"/>
      <c r="S105" s="96"/>
      <c r="T105" s="96"/>
      <c r="U105" s="96"/>
      <c r="V105" s="5"/>
      <c r="W105" s="5"/>
    </row>
    <row r="106" spans="1:23" x14ac:dyDescent="0.2">
      <c r="A106" s="119"/>
      <c r="B106" s="36"/>
      <c r="C106" s="23" t="s">
        <v>12</v>
      </c>
      <c r="D106" s="123">
        <v>4821.6899999999996</v>
      </c>
      <c r="E106" s="108">
        <v>0.25</v>
      </c>
      <c r="F106" s="46">
        <v>0.96</v>
      </c>
      <c r="G106" s="32">
        <v>1.71</v>
      </c>
      <c r="H106" s="106">
        <f>IF(E106="","",(((D106/VLOOKUP("dez",$C$103:D105,2,FALSE)-1)*100)))</f>
        <v>0.96300018845405511</v>
      </c>
      <c r="I106" s="107">
        <f t="shared" si="4"/>
        <v>4.5711051156818838</v>
      </c>
      <c r="J106" s="137"/>
      <c r="K106" s="40">
        <v>41333</v>
      </c>
      <c r="L106" s="41">
        <f t="shared" si="2"/>
        <v>0.38</v>
      </c>
      <c r="M106" s="78">
        <f t="shared" si="3"/>
        <v>0.5099999999999999</v>
      </c>
      <c r="O106" s="5"/>
      <c r="P106" s="5"/>
      <c r="Q106" s="5"/>
      <c r="R106" s="5"/>
      <c r="S106" s="96"/>
      <c r="T106" s="96"/>
      <c r="U106" s="96"/>
      <c r="V106" s="5"/>
      <c r="W106" s="5"/>
    </row>
    <row r="107" spans="1:23" x14ac:dyDescent="0.2">
      <c r="A107" s="119"/>
      <c r="B107" s="36"/>
      <c r="C107" s="23" t="s">
        <v>13</v>
      </c>
      <c r="D107" s="123">
        <v>4828.4399999999996</v>
      </c>
      <c r="E107" s="108">
        <v>0.14000000000000001</v>
      </c>
      <c r="F107" s="106">
        <v>0.72</v>
      </c>
      <c r="G107" s="106">
        <v>1.59</v>
      </c>
      <c r="H107" s="106">
        <f>IF(E107="","",(((D107/VLOOKUP("dez",$C$103:D106,2,FALSE)-1)*100)))</f>
        <v>1.1043407249198944</v>
      </c>
      <c r="I107" s="107">
        <f t="shared" si="4"/>
        <v>4.0825168946228008</v>
      </c>
      <c r="J107" s="137"/>
      <c r="K107" s="40">
        <v>41364</v>
      </c>
      <c r="L107" s="41">
        <f t="shared" si="2"/>
        <v>0.33</v>
      </c>
      <c r="M107" s="78">
        <f t="shared" si="3"/>
        <v>0.43583333333333329</v>
      </c>
      <c r="O107" s="5"/>
      <c r="P107" s="5"/>
      <c r="Q107" s="5"/>
      <c r="R107" s="5"/>
      <c r="S107" s="96"/>
      <c r="T107" s="96"/>
      <c r="U107" s="96"/>
      <c r="V107" s="5"/>
      <c r="W107" s="5"/>
    </row>
    <row r="108" spans="1:23" x14ac:dyDescent="0.2">
      <c r="A108" s="119"/>
      <c r="B108" s="36"/>
      <c r="C108" s="23" t="s">
        <v>14</v>
      </c>
      <c r="D108" s="123">
        <v>4843.41</v>
      </c>
      <c r="E108" s="108">
        <v>0.31</v>
      </c>
      <c r="F108" s="106">
        <v>0.7</v>
      </c>
      <c r="G108" s="106">
        <v>1.72</v>
      </c>
      <c r="H108" s="106">
        <f>IF(E108="","",(((D108/VLOOKUP("dez",$C$103:D107,2,FALSE)-1)*100)))</f>
        <v>1.4178026257930743</v>
      </c>
      <c r="I108" s="107">
        <f t="shared" si="4"/>
        <v>3.5972561777709355</v>
      </c>
      <c r="J108" s="137"/>
      <c r="K108" s="40">
        <v>41394</v>
      </c>
      <c r="L108" s="41">
        <f t="shared" si="2"/>
        <v>0.25</v>
      </c>
      <c r="M108" s="78">
        <f t="shared" si="3"/>
        <v>0.38833333333333336</v>
      </c>
      <c r="O108" s="5"/>
      <c r="P108" s="5"/>
      <c r="Q108" s="5"/>
      <c r="R108" s="5"/>
      <c r="S108" s="96"/>
      <c r="T108" s="96"/>
      <c r="U108" s="96"/>
      <c r="V108" s="5"/>
      <c r="W108" s="5"/>
    </row>
    <row r="109" spans="1:23" x14ac:dyDescent="0.2">
      <c r="A109" s="119"/>
      <c r="B109" s="36"/>
      <c r="C109" s="23" t="s">
        <v>15</v>
      </c>
      <c r="D109" s="123">
        <v>4832.2700000000004</v>
      </c>
      <c r="E109" s="108">
        <v>-0.23</v>
      </c>
      <c r="F109" s="106">
        <v>0.22</v>
      </c>
      <c r="G109" s="106">
        <v>1.18</v>
      </c>
      <c r="H109" s="106">
        <f>IF(E109="","",(((D109/VLOOKUP("dez",$C$103:D108,2,FALSE)-1)*100)))</f>
        <v>1.1845383922775898</v>
      </c>
      <c r="I109" s="107">
        <f t="shared" si="4"/>
        <v>2.9985569924055655</v>
      </c>
      <c r="J109" s="137"/>
      <c r="K109" s="40">
        <v>41425</v>
      </c>
      <c r="L109" s="41">
        <f t="shared" si="2"/>
        <v>0.14000000000000001</v>
      </c>
      <c r="M109" s="78">
        <f t="shared" si="3"/>
        <v>0.37333333333333329</v>
      </c>
      <c r="O109" s="5"/>
      <c r="P109" s="5"/>
      <c r="Q109" s="5"/>
      <c r="R109" s="5"/>
      <c r="S109" s="96"/>
      <c r="T109" s="96"/>
      <c r="U109" s="96"/>
      <c r="V109" s="5"/>
      <c r="W109" s="5"/>
    </row>
    <row r="110" spans="1:23" x14ac:dyDescent="0.2">
      <c r="A110" s="119"/>
      <c r="B110" s="36"/>
      <c r="C110" s="23" t="s">
        <v>16</v>
      </c>
      <c r="D110" s="123">
        <v>4843.87</v>
      </c>
      <c r="E110" s="108">
        <v>0.24</v>
      </c>
      <c r="F110" s="106">
        <v>0.32</v>
      </c>
      <c r="G110" s="106">
        <v>1.04</v>
      </c>
      <c r="H110" s="106">
        <f>IF(E110="","",(((D110/VLOOKUP("dez",$C$103:D109,2,FALSE)-1)*100)))</f>
        <v>1.4274347216114869</v>
      </c>
      <c r="I110" s="107">
        <f t="shared" si="4"/>
        <v>2.711625766806125</v>
      </c>
      <c r="J110" s="137"/>
      <c r="K110" s="40">
        <v>41455</v>
      </c>
      <c r="L110" s="41">
        <f t="shared" si="2"/>
        <v>0.31</v>
      </c>
      <c r="M110" s="78">
        <f t="shared" si="3"/>
        <v>0.33416666666666667</v>
      </c>
      <c r="O110" s="5"/>
      <c r="P110" s="5"/>
      <c r="Q110" s="5"/>
      <c r="R110" s="5"/>
      <c r="S110" s="96"/>
      <c r="T110" s="96"/>
      <c r="U110" s="96"/>
      <c r="V110" s="5"/>
      <c r="W110" s="5"/>
    </row>
    <row r="111" spans="1:23" x14ac:dyDescent="0.2">
      <c r="A111" s="119"/>
      <c r="B111" s="36"/>
      <c r="C111" s="23" t="s">
        <v>17</v>
      </c>
      <c r="D111" s="123">
        <v>4853.07</v>
      </c>
      <c r="E111" s="100">
        <v>0.19</v>
      </c>
      <c r="F111" s="106">
        <v>0.2</v>
      </c>
      <c r="G111" s="106">
        <v>0.9</v>
      </c>
      <c r="H111" s="106">
        <f>IF(E111="","",(((D111/VLOOKUP("dez",$C$103:D110,2,FALSE)-1)*100)))</f>
        <v>1.6200766379797615</v>
      </c>
      <c r="I111" s="107">
        <f t="shared" si="4"/>
        <v>2.4559084940275255</v>
      </c>
      <c r="J111" s="137"/>
      <c r="K111" s="40">
        <v>41486</v>
      </c>
      <c r="L111" s="41">
        <f t="shared" si="2"/>
        <v>-0.23</v>
      </c>
      <c r="M111" s="78">
        <f t="shared" si="3"/>
        <v>0.29499999999999998</v>
      </c>
      <c r="O111" s="5"/>
      <c r="P111" s="5"/>
      <c r="Q111" s="5"/>
      <c r="R111" s="5"/>
      <c r="S111" s="96"/>
      <c r="T111" s="96"/>
      <c r="U111" s="96"/>
      <c r="V111" s="5"/>
      <c r="W111" s="5"/>
    </row>
    <row r="112" spans="1:23" x14ac:dyDescent="0.2">
      <c r="A112" s="119"/>
      <c r="B112" s="19"/>
      <c r="C112" s="35" t="s">
        <v>18</v>
      </c>
      <c r="D112" s="123">
        <v>4860.83</v>
      </c>
      <c r="E112" s="100">
        <v>0.16</v>
      </c>
      <c r="F112" s="106">
        <f>IF(E112="","",(((D112/D109)-1)*100))</f>
        <v>0.59102657757119648</v>
      </c>
      <c r="G112" s="106">
        <f>IF(E112="","",(((D112/D106)-1)*100))</f>
        <v>0.81174857778083531</v>
      </c>
      <c r="H112" s="106">
        <f>IF(E112="","",(((D112/VLOOKUP("dez",$C$103:D111,2,FALSE)-1)*100)))</f>
        <v>1.7825659065686672</v>
      </c>
      <c r="I112" s="107">
        <f t="shared" si="4"/>
        <v>2.5376909332922803</v>
      </c>
      <c r="J112" s="137"/>
      <c r="K112" s="40">
        <v>41517</v>
      </c>
      <c r="L112" s="41">
        <f>IF(E110=0,L111,E110)</f>
        <v>0.24</v>
      </c>
      <c r="M112" s="78">
        <f t="shared" si="3"/>
        <v>0.2466666666666667</v>
      </c>
      <c r="O112" s="96"/>
      <c r="P112" s="5"/>
      <c r="Q112" s="5"/>
      <c r="R112" s="5"/>
      <c r="S112" s="96"/>
      <c r="T112" s="96"/>
      <c r="U112" s="96"/>
      <c r="V112" s="5"/>
      <c r="W112" s="5"/>
    </row>
    <row r="113" spans="1:23" x14ac:dyDescent="0.2">
      <c r="A113" s="119"/>
      <c r="B113" s="36"/>
      <c r="C113" s="23" t="s">
        <v>19</v>
      </c>
      <c r="D113" s="123">
        <v>4881.25</v>
      </c>
      <c r="E113" s="100">
        <v>0.42</v>
      </c>
      <c r="F113" s="106">
        <f t="shared" ref="F113:F176" si="5">IF(E113="","",(((D113/D110)-1)*100))</f>
        <v>0.77169701086114983</v>
      </c>
      <c r="G113" s="106">
        <f t="shared" ref="G113:G176" si="6">IF(E113="","",(((D113/D107)-1)*100))</f>
        <v>1.0937279949631895</v>
      </c>
      <c r="H113" s="106">
        <f>IF(E113="","",(((D113/VLOOKUP("dez",$C$103:D112,2,FALSE)-1)*100)))</f>
        <v>2.2101472035513048</v>
      </c>
      <c r="I113" s="107">
        <f t="shared" si="4"/>
        <v>2.7013208888963858</v>
      </c>
      <c r="J113" s="137"/>
      <c r="K113" s="40">
        <v>41547</v>
      </c>
      <c r="L113" s="41">
        <f>IF(E111=0,L112,E111)</f>
        <v>0.19</v>
      </c>
      <c r="M113" s="78">
        <f t="shared" si="3"/>
        <v>0.22333333333333338</v>
      </c>
      <c r="O113" s="139"/>
      <c r="P113" s="5"/>
      <c r="Q113" s="5"/>
      <c r="R113" s="5"/>
      <c r="S113" s="96"/>
      <c r="T113" s="96"/>
      <c r="U113" s="96"/>
      <c r="V113" s="5"/>
      <c r="W113" s="5"/>
    </row>
    <row r="114" spans="1:23" s="5" customFormat="1" x14ac:dyDescent="0.2">
      <c r="A114" s="119"/>
      <c r="B114" s="19"/>
      <c r="C114" s="35" t="s">
        <v>20</v>
      </c>
      <c r="D114" s="123">
        <v>4894.92</v>
      </c>
      <c r="E114" s="100">
        <v>0.28000000000000003</v>
      </c>
      <c r="F114" s="106">
        <f t="shared" si="5"/>
        <v>0.86234074513658054</v>
      </c>
      <c r="G114" s="106">
        <f t="shared" si="6"/>
        <v>1.0635069093882343</v>
      </c>
      <c r="H114" s="106">
        <f>IF(E114="","",(((D114/VLOOKUP("dez",$C$103:D113,2,FALSE)-1)*100)))</f>
        <v>2.496387964068103</v>
      </c>
      <c r="I114" s="107">
        <f t="shared" si="4"/>
        <v>2.8037854253563088</v>
      </c>
      <c r="J114" s="137"/>
      <c r="K114" s="40">
        <v>41578</v>
      </c>
      <c r="L114" s="41">
        <f>IF(E112=0,L113,E112)</f>
        <v>0.16</v>
      </c>
      <c r="M114" s="78">
        <f t="shared" si="3"/>
        <v>0.20250000000000001</v>
      </c>
      <c r="O114" s="139"/>
      <c r="S114" s="96"/>
      <c r="T114" s="96"/>
      <c r="U114" s="96"/>
    </row>
    <row r="115" spans="1:23" s="5" customFormat="1" x14ac:dyDescent="0.2">
      <c r="A115" s="119"/>
      <c r="B115" s="36"/>
      <c r="C115" s="23" t="s">
        <v>21</v>
      </c>
      <c r="D115" s="123">
        <v>4916.46</v>
      </c>
      <c r="E115" s="100">
        <v>0.44</v>
      </c>
      <c r="F115" s="106">
        <f t="shared" si="5"/>
        <v>1.1444547536120453</v>
      </c>
      <c r="G115" s="106">
        <f t="shared" si="6"/>
        <v>1.7422453629453605</v>
      </c>
      <c r="H115" s="106">
        <f>IF(E115="","",(((D115/VLOOKUP("dez",$C$103:D114,2,FALSE)-1)*100)))</f>
        <v>2.9474213204347066</v>
      </c>
      <c r="I115" s="107">
        <f t="shared" si="4"/>
        <v>2.9474213204347066</v>
      </c>
      <c r="J115" s="137"/>
      <c r="K115" s="40">
        <v>41608</v>
      </c>
      <c r="L115" s="41">
        <f>IF(E113="",M114,E113)</f>
        <v>0.42</v>
      </c>
      <c r="M115" s="78">
        <f t="shared" si="3"/>
        <v>0.2091666666666667</v>
      </c>
      <c r="O115" s="139"/>
      <c r="S115" s="96"/>
      <c r="T115" s="96"/>
      <c r="U115" s="96"/>
    </row>
    <row r="116" spans="1:23" s="5" customFormat="1" x14ac:dyDescent="0.2">
      <c r="A116" s="119"/>
      <c r="B116" s="36">
        <v>2018</v>
      </c>
      <c r="C116" s="23" t="s">
        <v>10</v>
      </c>
      <c r="D116" s="123">
        <v>4930.72</v>
      </c>
      <c r="E116" s="100">
        <v>0.28999999999999998</v>
      </c>
      <c r="F116" s="106">
        <f t="shared" si="5"/>
        <v>1.0134699103713229</v>
      </c>
      <c r="G116" s="106">
        <f t="shared" si="6"/>
        <v>1.7929878382367814</v>
      </c>
      <c r="H116" s="106">
        <f>IF(E116="","",(((D116/VLOOKUP("dez",$C$115:D127,2,FALSE)-1)*100)))</f>
        <v>0.29004609007294846</v>
      </c>
      <c r="I116" s="107">
        <f t="shared" ref="I116:I176" si="7">IF(E116="","",(((D116/D104)-1)*100))</f>
        <v>2.8551164512865324</v>
      </c>
      <c r="J116" s="137"/>
      <c r="K116" s="40">
        <v>41639</v>
      </c>
      <c r="L116" s="41">
        <f t="shared" ref="L116:L179" si="8">IF(E114="",M115,E114)</f>
        <v>0.28000000000000003</v>
      </c>
      <c r="M116" s="78">
        <f t="shared" si="3"/>
        <v>0.22250000000000003</v>
      </c>
      <c r="O116" s="139"/>
      <c r="S116" s="96"/>
      <c r="T116" s="96"/>
      <c r="U116" s="96"/>
    </row>
    <row r="117" spans="1:23" s="5" customFormat="1" x14ac:dyDescent="0.2">
      <c r="B117" s="36"/>
      <c r="C117" s="23" t="s">
        <v>11</v>
      </c>
      <c r="D117" s="123">
        <v>4946.5</v>
      </c>
      <c r="E117" s="100">
        <v>0.32</v>
      </c>
      <c r="F117" s="106">
        <f t="shared" si="5"/>
        <v>1.0537455157591857</v>
      </c>
      <c r="G117" s="106">
        <f t="shared" si="6"/>
        <v>1.9251731378282289</v>
      </c>
      <c r="H117" s="106">
        <f>IF(E117="","",(((D117/VLOOKUP("dez",$C$115:D128,2,FALSE)-1)*100)))</f>
        <v>0.61100873392643251</v>
      </c>
      <c r="I117" s="107">
        <f t="shared" si="7"/>
        <v>2.8448937245174832</v>
      </c>
      <c r="J117" s="137"/>
      <c r="K117" s="40">
        <v>41670</v>
      </c>
      <c r="L117" s="41">
        <f t="shared" si="8"/>
        <v>0.44</v>
      </c>
      <c r="M117" s="78">
        <f t="shared" si="3"/>
        <v>0.23083333333333331</v>
      </c>
      <c r="O117" s="139" t="s">
        <v>170</v>
      </c>
    </row>
    <row r="118" spans="1:23" x14ac:dyDescent="0.2">
      <c r="B118" s="36"/>
      <c r="C118" s="23" t="s">
        <v>12</v>
      </c>
      <c r="D118" s="123">
        <v>4950.95</v>
      </c>
      <c r="E118" s="100">
        <v>0.09</v>
      </c>
      <c r="F118" s="106">
        <f t="shared" si="5"/>
        <v>0.70152101308664783</v>
      </c>
      <c r="G118" s="106">
        <f t="shared" si="6"/>
        <v>1.8540043572805365</v>
      </c>
      <c r="H118" s="106">
        <f>IF(E118="","",(((D118/VLOOKUP("dez",$C$115:D129,2,FALSE)-1)*100)))</f>
        <v>0.70152101308664783</v>
      </c>
      <c r="I118" s="107">
        <f t="shared" si="7"/>
        <v>2.6808027890635966</v>
      </c>
      <c r="J118" s="137"/>
      <c r="K118" s="40">
        <v>41698</v>
      </c>
      <c r="L118" s="41">
        <f t="shared" si="8"/>
        <v>0.28999999999999998</v>
      </c>
      <c r="M118" s="78">
        <f t="shared" si="3"/>
        <v>0.24249999999999997</v>
      </c>
      <c r="O118" s="139"/>
      <c r="P118" s="5"/>
      <c r="Q118" s="5"/>
      <c r="R118" s="5"/>
    </row>
    <row r="119" spans="1:23" x14ac:dyDescent="0.2">
      <c r="B119" s="36"/>
      <c r="C119" s="23" t="s">
        <v>13</v>
      </c>
      <c r="D119" s="123">
        <v>4961.84</v>
      </c>
      <c r="E119" s="100">
        <f t="shared" ref="E119" si="9">((D119/D118)-1)*100</f>
        <v>0.21995778587948767</v>
      </c>
      <c r="F119" s="106">
        <f t="shared" si="5"/>
        <v>0.63114514715902903</v>
      </c>
      <c r="G119" s="106">
        <f t="shared" si="6"/>
        <v>1.6510115236875844</v>
      </c>
      <c r="H119" s="106">
        <f>IF(E119="","",(((D119/VLOOKUP("dez",$C$115:D130,2,FALSE)-1)*100)))</f>
        <v>0.92302184905399542</v>
      </c>
      <c r="I119" s="107">
        <f t="shared" si="7"/>
        <v>2.7627970938854052</v>
      </c>
      <c r="J119" s="137"/>
      <c r="K119" s="40">
        <v>41729</v>
      </c>
      <c r="L119" s="41">
        <f t="shared" si="8"/>
        <v>0.32</v>
      </c>
      <c r="M119" s="78">
        <f t="shared" si="3"/>
        <v>0.23499999999999999</v>
      </c>
      <c r="O119" s="139"/>
      <c r="P119" s="5"/>
      <c r="Q119" s="5"/>
      <c r="R119" s="5"/>
    </row>
    <row r="120" spans="1:23" x14ac:dyDescent="0.2">
      <c r="B120" s="36"/>
      <c r="C120" s="23" t="s">
        <v>14</v>
      </c>
      <c r="D120" s="123">
        <v>4981.6899999999996</v>
      </c>
      <c r="E120" s="100">
        <v>0.4</v>
      </c>
      <c r="F120" s="106">
        <f t="shared" si="5"/>
        <v>0.71141210957241796</v>
      </c>
      <c r="G120" s="106">
        <f t="shared" si="6"/>
        <v>1.7726540985347983</v>
      </c>
      <c r="H120" s="106">
        <f>IF(E120="","",(((D120/VLOOKUP("dez",$C$115:D131,2,FALSE)-1)*100)))</f>
        <v>1.3267676336225609</v>
      </c>
      <c r="I120" s="107">
        <f t="shared" si="7"/>
        <v>2.8550133067404948</v>
      </c>
      <c r="J120" s="137"/>
      <c r="K120" s="40">
        <v>41759</v>
      </c>
      <c r="L120" s="41">
        <f t="shared" si="8"/>
        <v>0.09</v>
      </c>
      <c r="M120" s="78">
        <f t="shared" si="3"/>
        <v>0.23416666666666663</v>
      </c>
      <c r="O120" s="139"/>
      <c r="P120" s="5"/>
      <c r="Q120" s="5"/>
      <c r="R120" s="5"/>
    </row>
    <row r="121" spans="1:23" x14ac:dyDescent="0.2">
      <c r="B121" s="36"/>
      <c r="C121" s="23" t="s">
        <v>15</v>
      </c>
      <c r="D121" s="123">
        <v>5044.46</v>
      </c>
      <c r="E121" s="100">
        <v>1.26</v>
      </c>
      <c r="F121" s="106">
        <f t="shared" si="5"/>
        <v>1.8887284258576775</v>
      </c>
      <c r="G121" s="106">
        <f t="shared" si="6"/>
        <v>2.6034992657318456</v>
      </c>
      <c r="H121" s="106">
        <f>IF(E121="","",(((D121/VLOOKUP("dez",$C$115:D132,2,FALSE)-1)*100)))</f>
        <v>2.6034992657318456</v>
      </c>
      <c r="I121" s="107">
        <f t="shared" si="7"/>
        <v>4.3911039739087387</v>
      </c>
      <c r="J121" s="137"/>
      <c r="K121" s="40">
        <v>41790</v>
      </c>
      <c r="L121" s="41">
        <f t="shared" si="8"/>
        <v>0.21995778587948767</v>
      </c>
      <c r="M121" s="78">
        <f t="shared" si="3"/>
        <v>0.2208333333333333</v>
      </c>
      <c r="O121" s="139"/>
      <c r="P121" s="5"/>
      <c r="Q121" s="5"/>
      <c r="R121" s="5"/>
    </row>
    <row r="122" spans="1:23" x14ac:dyDescent="0.2">
      <c r="B122" s="36"/>
      <c r="C122" s="23" t="s">
        <v>16</v>
      </c>
      <c r="D122" s="140">
        <v>5061.1099999999997</v>
      </c>
      <c r="E122" s="100">
        <v>0.33</v>
      </c>
      <c r="F122" s="106">
        <f t="shared" si="5"/>
        <v>2.000669106621733</v>
      </c>
      <c r="G122" s="106">
        <f t="shared" si="6"/>
        <v>2.6444413797579225</v>
      </c>
      <c r="H122" s="106">
        <f>IF(E122="","",(((D122/VLOOKUP("dez",$C$115:D133,2,FALSE)-1)*100)))</f>
        <v>2.9421575686571222</v>
      </c>
      <c r="I122" s="107">
        <f t="shared" si="7"/>
        <v>4.4848437303230737</v>
      </c>
      <c r="J122" s="137"/>
      <c r="K122" s="40">
        <v>41820</v>
      </c>
      <c r="L122" s="41">
        <f t="shared" si="8"/>
        <v>0.4</v>
      </c>
      <c r="M122" s="78">
        <f t="shared" si="3"/>
        <v>0.22749648215662396</v>
      </c>
      <c r="O122" s="96"/>
      <c r="P122" s="5"/>
      <c r="Q122" s="5"/>
      <c r="R122" s="5"/>
    </row>
    <row r="123" spans="1:23" x14ac:dyDescent="0.2">
      <c r="B123" s="36"/>
      <c r="C123" s="23" t="s">
        <v>17</v>
      </c>
      <c r="D123" s="140">
        <f>D122*((E123/100)+1)</f>
        <v>5056.5550009999997</v>
      </c>
      <c r="E123" s="100">
        <v>-0.09</v>
      </c>
      <c r="F123" s="106">
        <v>1.5</v>
      </c>
      <c r="G123" s="106">
        <v>2.23</v>
      </c>
      <c r="H123" s="106">
        <v>2.85</v>
      </c>
      <c r="I123" s="107">
        <v>4.1900000000000004</v>
      </c>
      <c r="J123" s="137"/>
      <c r="K123" s="40">
        <v>41851</v>
      </c>
      <c r="L123" s="41">
        <f t="shared" si="8"/>
        <v>1.26</v>
      </c>
      <c r="M123" s="78">
        <f t="shared" si="3"/>
        <v>0.23499648215662394</v>
      </c>
      <c r="O123" s="139"/>
      <c r="P123" s="5"/>
      <c r="Q123" s="5"/>
      <c r="R123" s="5"/>
    </row>
    <row r="124" spans="1:23" x14ac:dyDescent="0.2">
      <c r="B124" s="19"/>
      <c r="C124" s="35" t="s">
        <v>18</v>
      </c>
      <c r="D124" s="140">
        <f>D123*((E124/100)+1)</f>
        <v>5080.8264650047995</v>
      </c>
      <c r="E124" s="100">
        <v>0.48</v>
      </c>
      <c r="F124" s="106">
        <f t="shared" si="5"/>
        <v>0.72091888933205617</v>
      </c>
      <c r="G124" s="106">
        <f t="shared" si="6"/>
        <v>2.6232635151799188</v>
      </c>
      <c r="H124" s="106">
        <f>IF(E124="","",(((D124/VLOOKUP("dez",$C$115:D135,2,FALSE)-1)*100)))</f>
        <v>3.3431872730541823</v>
      </c>
      <c r="I124" s="107">
        <f t="shared" si="7"/>
        <v>4.525903292334843</v>
      </c>
      <c r="J124" s="137"/>
      <c r="K124" s="40">
        <v>41882</v>
      </c>
      <c r="L124" s="41">
        <f t="shared" si="8"/>
        <v>0.33</v>
      </c>
      <c r="M124" s="78">
        <f t="shared" si="3"/>
        <v>0.35916314882329065</v>
      </c>
      <c r="O124" s="139"/>
      <c r="P124" s="5"/>
      <c r="Q124" s="5"/>
      <c r="R124" s="5"/>
    </row>
    <row r="125" spans="1:23" x14ac:dyDescent="0.2">
      <c r="B125" s="36"/>
      <c r="C125" s="23" t="s">
        <v>19</v>
      </c>
      <c r="D125" s="140">
        <f t="shared" ref="D125:D188" si="10">D124*((E125/100)+1)</f>
        <v>5103.6901840973205</v>
      </c>
      <c r="E125" s="100">
        <v>0.45</v>
      </c>
      <c r="F125" s="106">
        <f t="shared" si="5"/>
        <v>0.84132105599998841</v>
      </c>
      <c r="G125" s="106">
        <f t="shared" si="6"/>
        <v>2.8588222130766061</v>
      </c>
      <c r="H125" s="106">
        <f>IF(E125="","",(((D125/VLOOKUP("dez",$C$115:D136,2,FALSE)-1)*100)))</f>
        <v>3.8082316157829199</v>
      </c>
      <c r="I125" s="107">
        <f t="shared" si="7"/>
        <v>4.5570332209438291</v>
      </c>
      <c r="J125" s="137"/>
      <c r="K125" s="40">
        <v>41912</v>
      </c>
      <c r="L125" s="41">
        <f t="shared" si="8"/>
        <v>-0.09</v>
      </c>
      <c r="M125" s="78">
        <f t="shared" si="3"/>
        <v>0.3666631488232906</v>
      </c>
      <c r="O125" s="187"/>
      <c r="P125" s="5"/>
      <c r="Q125" s="5"/>
      <c r="R125" s="5"/>
    </row>
    <row r="126" spans="1:23" x14ac:dyDescent="0.2">
      <c r="B126" s="19"/>
      <c r="C126" s="35" t="s">
        <v>20</v>
      </c>
      <c r="D126" s="140">
        <f t="shared" si="10"/>
        <v>5092.9724347107158</v>
      </c>
      <c r="E126" s="100">
        <v>-0.21</v>
      </c>
      <c r="F126" s="106">
        <f t="shared" si="5"/>
        <v>0.7202024639999749</v>
      </c>
      <c r="G126" s="106">
        <f t="shared" si="6"/>
        <v>2.2338289759241681</v>
      </c>
      <c r="H126" s="106">
        <f>IF(E126="","",(((D126/VLOOKUP("dez",$C$115:D137,2,FALSE)-1)*100)))</f>
        <v>3.5902343293897632</v>
      </c>
      <c r="I126" s="107">
        <f t="shared" si="7"/>
        <v>4.0460811353549397</v>
      </c>
      <c r="J126" s="137"/>
      <c r="K126" s="40">
        <v>41943</v>
      </c>
      <c r="L126" s="41">
        <f t="shared" si="8"/>
        <v>0.48</v>
      </c>
      <c r="M126" s="78">
        <f t="shared" si="3"/>
        <v>0.34332981548995734</v>
      </c>
      <c r="O126" s="138"/>
      <c r="P126" s="5"/>
      <c r="Q126" s="5"/>
      <c r="R126" s="5"/>
    </row>
    <row r="127" spans="1:23" x14ac:dyDescent="0.2">
      <c r="B127" s="36"/>
      <c r="C127" s="23" t="s">
        <v>21</v>
      </c>
      <c r="D127" s="140">
        <f t="shared" si="10"/>
        <v>5100.6118933627822</v>
      </c>
      <c r="E127" s="100">
        <v>0.15</v>
      </c>
      <c r="F127" s="106">
        <f t="shared" si="5"/>
        <v>0.3894135824999978</v>
      </c>
      <c r="G127" s="106">
        <f t="shared" si="6"/>
        <v>1.1131398279059068</v>
      </c>
      <c r="H127" s="106">
        <f>IF(E127="","",(((D127/VLOOKUP("dez",$C$115:D138,2,FALSE)-1)*100)))</f>
        <v>3.7456196808838493</v>
      </c>
      <c r="I127" s="107">
        <f t="shared" si="7"/>
        <v>3.7456196808838493</v>
      </c>
      <c r="J127" s="137"/>
      <c r="K127" s="40">
        <v>41973</v>
      </c>
      <c r="L127" s="41">
        <f t="shared" si="8"/>
        <v>0.45</v>
      </c>
      <c r="M127" s="78">
        <f t="shared" si="3"/>
        <v>0.36999648215662395</v>
      </c>
      <c r="O127" s="138"/>
      <c r="P127" s="5"/>
      <c r="Q127" s="5"/>
      <c r="R127" s="5"/>
    </row>
    <row r="128" spans="1:23" x14ac:dyDescent="0.2">
      <c r="B128" s="36">
        <v>2019</v>
      </c>
      <c r="C128" s="23" t="s">
        <v>10</v>
      </c>
      <c r="D128" s="140">
        <f t="shared" si="10"/>
        <v>5116.9338514215433</v>
      </c>
      <c r="E128" s="100">
        <v>0.32</v>
      </c>
      <c r="F128" s="106">
        <f t="shared" si="5"/>
        <v>0.25949199199999384</v>
      </c>
      <c r="G128" s="106">
        <f t="shared" si="6"/>
        <v>1.1029962087673262</v>
      </c>
      <c r="H128" s="106">
        <f>IF(E128="","",(((D128/VLOOKUP("dez",$C$127:D139,2,FALSE)-1)*100)))</f>
        <v>0.32000000000000917</v>
      </c>
      <c r="I128" s="107">
        <f t="shared" si="7"/>
        <v>3.7766056766870282</v>
      </c>
      <c r="J128" s="137"/>
      <c r="K128" s="40">
        <v>42004</v>
      </c>
      <c r="L128" s="41">
        <f t="shared" si="8"/>
        <v>-0.21</v>
      </c>
      <c r="M128" s="78">
        <f t="shared" si="3"/>
        <v>0.37249648215662395</v>
      </c>
      <c r="O128" s="138"/>
      <c r="P128" s="5"/>
      <c r="Q128" s="5"/>
      <c r="R128" s="5"/>
    </row>
    <row r="129" spans="2:18" x14ac:dyDescent="0.2">
      <c r="B129" s="36"/>
      <c r="C129" s="23" t="s">
        <v>11</v>
      </c>
      <c r="D129" s="140">
        <f>D128*((E129/100)+1)-0.01</f>
        <v>5138.9266669826557</v>
      </c>
      <c r="E129" s="100">
        <v>0.43</v>
      </c>
      <c r="F129" s="106">
        <f t="shared" si="5"/>
        <v>0.90230671500874937</v>
      </c>
      <c r="G129" s="106">
        <f t="shared" si="6"/>
        <v>1.6290076142030596</v>
      </c>
      <c r="H129" s="106">
        <f>IF(E129="","",(((D129/VLOOKUP("dez",$C$127:D140,2,FALSE)-1)*100)))</f>
        <v>0.75117994509110719</v>
      </c>
      <c r="I129" s="107">
        <f t="shared" si="7"/>
        <v>3.8901580305803263</v>
      </c>
      <c r="J129" s="137"/>
      <c r="K129" s="40">
        <v>42035</v>
      </c>
      <c r="L129" s="41">
        <f t="shared" si="8"/>
        <v>0.15</v>
      </c>
      <c r="M129" s="78">
        <f t="shared" si="3"/>
        <v>0.33166314882329062</v>
      </c>
      <c r="O129" s="138"/>
      <c r="P129" s="5"/>
      <c r="Q129" s="5"/>
      <c r="R129" s="5"/>
    </row>
    <row r="130" spans="2:18" x14ac:dyDescent="0.2">
      <c r="B130" s="36"/>
      <c r="C130" s="23" t="s">
        <v>12</v>
      </c>
      <c r="D130" s="140">
        <f t="shared" si="10"/>
        <v>5177.4686169850256</v>
      </c>
      <c r="E130" s="100">
        <v>0.75</v>
      </c>
      <c r="F130" s="106">
        <f t="shared" si="5"/>
        <v>1.5068137946792959</v>
      </c>
      <c r="G130" s="106">
        <f t="shared" si="6"/>
        <v>1.9020951147587617</v>
      </c>
      <c r="H130" s="106">
        <f>IF(E130="","",(((D130/VLOOKUP("dez",$C$127:D141,2,FALSE)-1)*100)))</f>
        <v>1.5068137946792959</v>
      </c>
      <c r="I130" s="107">
        <f t="shared" si="7"/>
        <v>4.575255597108141</v>
      </c>
      <c r="J130" s="137"/>
      <c r="K130" s="40">
        <v>42063</v>
      </c>
      <c r="L130" s="41">
        <f t="shared" si="8"/>
        <v>0.32</v>
      </c>
      <c r="M130" s="78">
        <f t="shared" si="3"/>
        <v>0.30749648215662401</v>
      </c>
      <c r="O130" s="138"/>
      <c r="P130" s="5"/>
      <c r="Q130" s="5"/>
      <c r="R130" s="5"/>
    </row>
    <row r="131" spans="2:18" x14ac:dyDescent="0.2">
      <c r="B131" s="36"/>
      <c r="C131" s="23" t="s">
        <v>13</v>
      </c>
      <c r="D131" s="140">
        <f t="shared" si="10"/>
        <v>5206.9801881018402</v>
      </c>
      <c r="E131" s="100">
        <v>0.56999999999999995</v>
      </c>
      <c r="F131" s="106">
        <f t="shared" si="5"/>
        <v>1.759771364941165</v>
      </c>
      <c r="G131" s="106">
        <f t="shared" si="6"/>
        <v>2.0238298227106988</v>
      </c>
      <c r="H131" s="106">
        <f>IF(E131="","",(((D131/VLOOKUP("dez",$C$127:D142,2,FALSE)-1)*100)))</f>
        <v>2.0854026333089637</v>
      </c>
      <c r="I131" s="107">
        <f t="shared" si="7"/>
        <v>4.9405097323138136</v>
      </c>
      <c r="J131" s="137"/>
      <c r="K131" s="40">
        <v>42094</v>
      </c>
      <c r="L131" s="41">
        <f t="shared" si="8"/>
        <v>0.43</v>
      </c>
      <c r="M131" s="78">
        <f t="shared" si="3"/>
        <v>0.30999648215662401</v>
      </c>
      <c r="O131" s="138"/>
      <c r="P131" s="5"/>
      <c r="Q131" s="5"/>
      <c r="R131" s="5"/>
    </row>
    <row r="132" spans="2:18" x14ac:dyDescent="0.2">
      <c r="B132" s="36"/>
      <c r="C132" s="23" t="s">
        <v>14</v>
      </c>
      <c r="D132" s="140">
        <f t="shared" si="10"/>
        <v>5213.7492623463731</v>
      </c>
      <c r="E132" s="100">
        <v>0.13</v>
      </c>
      <c r="F132" s="106">
        <f t="shared" si="5"/>
        <v>1.4559965575000167</v>
      </c>
      <c r="G132" s="106">
        <f t="shared" si="6"/>
        <v>2.3714408272173859</v>
      </c>
      <c r="H132" s="106">
        <f>IF(E132="","",(((D132/VLOOKUP("dez",$C$127:D143,2,FALSE)-1)*100)))</f>
        <v>2.218113656732279</v>
      </c>
      <c r="I132" s="107">
        <f t="shared" si="7"/>
        <v>4.6582437354868222</v>
      </c>
      <c r="J132" s="137"/>
      <c r="K132" s="40">
        <v>42124</v>
      </c>
      <c r="L132" s="41">
        <f t="shared" si="8"/>
        <v>0.75</v>
      </c>
      <c r="M132" s="78">
        <f t="shared" si="3"/>
        <v>0.31916314882329067</v>
      </c>
      <c r="O132" s="138"/>
      <c r="P132" s="5"/>
      <c r="Q132" s="5"/>
      <c r="R132" s="5"/>
    </row>
    <row r="133" spans="2:18" x14ac:dyDescent="0.2">
      <c r="B133" s="36"/>
      <c r="C133" s="23" t="s">
        <v>15</v>
      </c>
      <c r="D133" s="140">
        <f t="shared" si="10"/>
        <v>5214.2706372726079</v>
      </c>
      <c r="E133" s="100">
        <v>0.01</v>
      </c>
      <c r="F133" s="106">
        <f t="shared" si="5"/>
        <v>0.71081107410000399</v>
      </c>
      <c r="G133" s="106">
        <f t="shared" si="6"/>
        <v>2.2283354680979528</v>
      </c>
      <c r="H133" s="106">
        <f>IF(E133="","",(((D133/VLOOKUP("dez",$C$127:D144,2,FALSE)-1)*100)))</f>
        <v>2.2283354680979528</v>
      </c>
      <c r="I133" s="107">
        <f t="shared" si="7"/>
        <v>3.3662797855986248</v>
      </c>
      <c r="J133" s="137"/>
      <c r="K133" s="40">
        <v>42155</v>
      </c>
      <c r="L133" s="41">
        <f t="shared" si="8"/>
        <v>0.56999999999999995</v>
      </c>
      <c r="M133" s="78">
        <f t="shared" si="3"/>
        <v>0.37416314882329066</v>
      </c>
      <c r="O133" s="138"/>
      <c r="P133" s="5"/>
      <c r="Q133" s="5"/>
      <c r="R133" s="5"/>
    </row>
    <row r="134" spans="2:18" x14ac:dyDescent="0.2">
      <c r="B134" s="36"/>
      <c r="C134" s="23" t="s">
        <v>16</v>
      </c>
      <c r="D134" s="140">
        <f t="shared" si="10"/>
        <v>5224.1777514834257</v>
      </c>
      <c r="E134" s="100">
        <v>0.19</v>
      </c>
      <c r="F134" s="106">
        <f t="shared" si="5"/>
        <v>0.3302790247000198</v>
      </c>
      <c r="G134" s="106">
        <f t="shared" si="6"/>
        <v>2.0958625453422419</v>
      </c>
      <c r="H134" s="106">
        <f>IF(E134="","",(((D134/VLOOKUP("dez",$C$127:D145,2,FALSE)-1)*100)))</f>
        <v>2.4225693054873432</v>
      </c>
      <c r="I134" s="107">
        <f t="shared" si="7"/>
        <v>3.2219760385256535</v>
      </c>
      <c r="J134" s="137"/>
      <c r="K134" s="40">
        <v>42185</v>
      </c>
      <c r="L134" s="41">
        <f t="shared" si="8"/>
        <v>0.13</v>
      </c>
      <c r="M134" s="78">
        <f t="shared" si="3"/>
        <v>0.40333333333333332</v>
      </c>
      <c r="O134" s="138"/>
      <c r="P134" s="5"/>
      <c r="Q134" s="5"/>
      <c r="R134" s="5"/>
    </row>
    <row r="135" spans="2:18" x14ac:dyDescent="0.2">
      <c r="B135" s="36"/>
      <c r="C135" s="23" t="s">
        <v>17</v>
      </c>
      <c r="D135" s="140">
        <f>D134*((E135/100)+1)+0.01</f>
        <v>5229.9343470100584</v>
      </c>
      <c r="E135" s="100">
        <v>0.11</v>
      </c>
      <c r="F135" s="106">
        <f t="shared" si="5"/>
        <v>0.31043082145461032</v>
      </c>
      <c r="G135" s="106">
        <f t="shared" si="6"/>
        <v>1.7709472410284199</v>
      </c>
      <c r="H135" s="106">
        <f>IF(E135="","",(((D135/VLOOKUP("dez",$C$127:D146,2,FALSE)-1)*100)))</f>
        <v>2.5354301866322704</v>
      </c>
      <c r="I135" s="107">
        <f t="shared" si="7"/>
        <v>3.428803720631346</v>
      </c>
      <c r="J135" s="137"/>
      <c r="K135" s="40">
        <v>42216</v>
      </c>
      <c r="L135" s="41">
        <f t="shared" si="8"/>
        <v>0.01</v>
      </c>
      <c r="M135" s="78">
        <f t="shared" si="3"/>
        <v>0.38083333333333336</v>
      </c>
      <c r="O135" s="138"/>
      <c r="P135" s="5"/>
      <c r="Q135" s="5"/>
      <c r="R135" s="5"/>
    </row>
    <row r="136" spans="2:18" x14ac:dyDescent="0.2">
      <c r="B136" s="19"/>
      <c r="C136" s="35" t="s">
        <v>18</v>
      </c>
      <c r="D136" s="140">
        <f t="shared" si="10"/>
        <v>5227.8423732712545</v>
      </c>
      <c r="E136" s="100">
        <v>-0.04</v>
      </c>
      <c r="F136" s="106">
        <f t="shared" si="5"/>
        <v>0.26028062106391303</v>
      </c>
      <c r="G136" s="106">
        <f t="shared" si="6"/>
        <v>0.97294179864217956</v>
      </c>
      <c r="H136" s="106">
        <f>IF(E136="","",(((D136/VLOOKUP("dez",$C$127:D147,2,FALSE)-1)*100)))</f>
        <v>2.4944160145576211</v>
      </c>
      <c r="I136" s="107">
        <f t="shared" si="7"/>
        <v>2.8935431918223564</v>
      </c>
      <c r="J136" s="137"/>
      <c r="K136" s="40">
        <v>42247</v>
      </c>
      <c r="L136" s="41">
        <f t="shared" si="8"/>
        <v>0.19</v>
      </c>
      <c r="M136" s="78">
        <f t="shared" si="3"/>
        <v>0.27666666666666662</v>
      </c>
      <c r="O136" s="138"/>
      <c r="P136" s="5"/>
      <c r="Q136" s="5"/>
      <c r="R136" s="5"/>
    </row>
    <row r="137" spans="2:18" x14ac:dyDescent="0.2">
      <c r="B137" s="36"/>
      <c r="C137" s="23" t="s">
        <v>19</v>
      </c>
      <c r="D137" s="140">
        <f t="shared" si="10"/>
        <v>5233.070215644525</v>
      </c>
      <c r="E137" s="100">
        <v>0.1</v>
      </c>
      <c r="F137" s="106">
        <f t="shared" si="5"/>
        <v>0.17021748845689189</v>
      </c>
      <c r="G137" s="106">
        <f t="shared" si="6"/>
        <v>0.50105870581764744</v>
      </c>
      <c r="H137" s="106">
        <f>IF(E137="","",(((D137/VLOOKUP("dez",$C$127:D148,2,FALSE)-1)*100)))</f>
        <v>2.5969104305721746</v>
      </c>
      <c r="I137" s="107">
        <f t="shared" si="7"/>
        <v>2.5350291040459716</v>
      </c>
      <c r="J137" s="137"/>
      <c r="K137" s="40">
        <v>42277</v>
      </c>
      <c r="L137" s="41">
        <f t="shared" si="8"/>
        <v>0.11</v>
      </c>
      <c r="M137" s="78">
        <f t="shared" si="3"/>
        <v>0.26499999999999996</v>
      </c>
      <c r="O137" s="138"/>
      <c r="P137" s="5"/>
      <c r="Q137" s="5"/>
      <c r="R137" s="5"/>
    </row>
    <row r="138" spans="2:18" x14ac:dyDescent="0.2">
      <c r="B138" s="19"/>
      <c r="C138" s="35" t="s">
        <v>20</v>
      </c>
      <c r="D138" s="140">
        <f t="shared" si="10"/>
        <v>5259.758873744313</v>
      </c>
      <c r="E138" s="100">
        <v>0.51</v>
      </c>
      <c r="F138" s="106">
        <f t="shared" si="5"/>
        <v>0.57026579600001348</v>
      </c>
      <c r="G138" s="106">
        <f t="shared" si="6"/>
        <v>0.8824668982496009</v>
      </c>
      <c r="H138" s="106">
        <f>IF(E138="","",(((D138/VLOOKUP("dez",$C$127:D149,2,FALSE)-1)*100)))</f>
        <v>3.1201546737681163</v>
      </c>
      <c r="I138" s="107">
        <f t="shared" si="7"/>
        <v>3.2748349057787562</v>
      </c>
      <c r="J138" s="137"/>
      <c r="K138" s="40">
        <v>42308</v>
      </c>
      <c r="L138" s="41">
        <f t="shared" si="8"/>
        <v>-0.04</v>
      </c>
      <c r="M138" s="78">
        <f t="shared" si="3"/>
        <v>0.28166666666666662</v>
      </c>
      <c r="O138" s="138"/>
      <c r="P138" s="5"/>
      <c r="Q138" s="5"/>
      <c r="R138" s="5"/>
    </row>
    <row r="139" spans="2:18" x14ac:dyDescent="0.2">
      <c r="B139" s="36"/>
      <c r="C139" s="23" t="s">
        <v>21</v>
      </c>
      <c r="D139" s="140">
        <f t="shared" si="10"/>
        <v>5320.246100792373</v>
      </c>
      <c r="E139" s="100">
        <v>1.1499999999999999</v>
      </c>
      <c r="F139" s="106">
        <f t="shared" si="5"/>
        <v>1.767530865000011</v>
      </c>
      <c r="G139" s="106">
        <f t="shared" si="6"/>
        <v>2.0324120263768508</v>
      </c>
      <c r="H139" s="106">
        <f>IF(E139="","",(((D139/VLOOKUP("dez",$C$127:D150,2,FALSE)-1)*100)))</f>
        <v>4.3060364525164374</v>
      </c>
      <c r="I139" s="107">
        <f t="shared" si="7"/>
        <v>4.3060364525164374</v>
      </c>
      <c r="J139" s="137"/>
      <c r="K139" s="40">
        <v>42338</v>
      </c>
      <c r="L139" s="41">
        <f t="shared" si="8"/>
        <v>0.1</v>
      </c>
      <c r="M139" s="78">
        <f t="shared" si="3"/>
        <v>0.23833333333333329</v>
      </c>
      <c r="O139" s="138"/>
      <c r="P139" s="5"/>
      <c r="Q139" s="5"/>
      <c r="R139" s="5"/>
    </row>
    <row r="140" spans="2:18" x14ac:dyDescent="0.2">
      <c r="B140" s="36">
        <v>2020</v>
      </c>
      <c r="C140" s="23" t="s">
        <v>10</v>
      </c>
      <c r="D140" s="140">
        <f t="shared" si="10"/>
        <v>5331.4186176040366</v>
      </c>
      <c r="E140" s="100">
        <v>0.21</v>
      </c>
      <c r="F140" s="106">
        <f t="shared" si="5"/>
        <v>1.8793633165000267</v>
      </c>
      <c r="G140" s="106">
        <f t="shared" si="6"/>
        <v>2.0527798099932548</v>
      </c>
      <c r="H140" s="106">
        <f>IF(E140="","",(((D140/VLOOKUP("dez",$C$139:D151,2,FALSE)-1)*100)))</f>
        <v>0.20999999999999908</v>
      </c>
      <c r="I140" s="107">
        <f t="shared" si="7"/>
        <v>4.1916657985114902</v>
      </c>
      <c r="J140" s="137"/>
      <c r="K140" s="40">
        <v>42369</v>
      </c>
      <c r="L140" s="41">
        <f t="shared" si="8"/>
        <v>0.51</v>
      </c>
      <c r="M140" s="78">
        <f t="shared" si="3"/>
        <v>0.20916666666666661</v>
      </c>
      <c r="O140" s="138"/>
      <c r="P140" s="5"/>
      <c r="Q140" s="5"/>
      <c r="R140" s="5"/>
    </row>
    <row r="141" spans="2:18" x14ac:dyDescent="0.2">
      <c r="B141" s="36"/>
      <c r="C141" s="23" t="s">
        <v>11</v>
      </c>
      <c r="D141" s="140">
        <f t="shared" si="10"/>
        <v>5344.7471641480461</v>
      </c>
      <c r="E141" s="100">
        <v>0.25</v>
      </c>
      <c r="F141" s="106">
        <f t="shared" si="5"/>
        <v>1.6158210374999982</v>
      </c>
      <c r="G141" s="106">
        <f t="shared" si="6"/>
        <v>2.195301308201425</v>
      </c>
      <c r="H141" s="106">
        <f>IF(E141="","",(((D141/VLOOKUP("dez",$C$139:D152,2,FALSE)-1)*100)))</f>
        <v>0.46052499999997831</v>
      </c>
      <c r="I141" s="107">
        <f t="shared" si="7"/>
        <v>4.0051261771796964</v>
      </c>
      <c r="J141" s="137"/>
      <c r="K141" s="40">
        <v>42400</v>
      </c>
      <c r="L141" s="41">
        <f t="shared" si="8"/>
        <v>1.1499999999999999</v>
      </c>
      <c r="M141" s="78">
        <f t="shared" si="3"/>
        <v>0.26916666666666661</v>
      </c>
      <c r="O141" s="138"/>
      <c r="P141" s="5"/>
      <c r="Q141" s="5"/>
      <c r="R141" s="5"/>
    </row>
    <row r="142" spans="2:18" x14ac:dyDescent="0.2">
      <c r="B142" s="36"/>
      <c r="C142" s="23" t="s">
        <v>12</v>
      </c>
      <c r="D142" s="140">
        <f t="shared" si="10"/>
        <v>5362.2957506703324</v>
      </c>
      <c r="E142" s="141">
        <f t="shared" ref="E141:E188" si="11">AVERAGE(E130:E141)</f>
        <v>0.32833333333333331</v>
      </c>
      <c r="F142" s="106">
        <f t="shared" si="5"/>
        <v>0.79037039041665036</v>
      </c>
      <c r="G142" s="106">
        <f t="shared" si="6"/>
        <v>2.5718712960151047</v>
      </c>
      <c r="H142" s="106">
        <f>IF(E142="","",(((D142/VLOOKUP("dez",$C$139:D153,2,FALSE)-1)*100)))</f>
        <v>0.79037039041665036</v>
      </c>
      <c r="I142" s="107">
        <f t="shared" si="7"/>
        <v>3.5698359055035045</v>
      </c>
      <c r="J142" s="137"/>
      <c r="K142" s="40">
        <v>42429</v>
      </c>
      <c r="L142" s="41">
        <f t="shared" si="8"/>
        <v>0.21</v>
      </c>
      <c r="M142" s="78">
        <f t="shared" si="3"/>
        <v>0.35249999999999987</v>
      </c>
      <c r="O142" s="138"/>
      <c r="P142" s="5"/>
      <c r="Q142" s="5"/>
      <c r="R142" s="5"/>
    </row>
    <row r="143" spans="2:18" x14ac:dyDescent="0.2">
      <c r="B143" s="36"/>
      <c r="C143" s="23" t="s">
        <v>13</v>
      </c>
      <c r="D143" s="140">
        <f t="shared" si="10"/>
        <v>5378.0177039059781</v>
      </c>
      <c r="E143" s="141">
        <f t="shared" si="11"/>
        <v>0.29319444444444442</v>
      </c>
      <c r="F143" s="106">
        <f t="shared" si="5"/>
        <v>0.87404665895254308</v>
      </c>
      <c r="G143" s="106">
        <f t="shared" si="6"/>
        <v>2.769836487729993</v>
      </c>
      <c r="H143" s="106">
        <f>IF(E143="","",(((D143/VLOOKUP("dez",$C$139:D154,2,FALSE)-1)*100)))</f>
        <v>1.0858821569363242</v>
      </c>
      <c r="I143" s="107">
        <f t="shared" si="7"/>
        <v>3.2847737004063404</v>
      </c>
      <c r="J143" s="137"/>
      <c r="K143" s="40">
        <v>42460</v>
      </c>
      <c r="L143" s="41">
        <f t="shared" si="8"/>
        <v>0.25</v>
      </c>
      <c r="M143" s="78">
        <f t="shared" si="3"/>
        <v>0.34333333333333332</v>
      </c>
      <c r="O143" s="138"/>
      <c r="P143" s="5"/>
      <c r="Q143" s="5"/>
      <c r="R143" s="5"/>
    </row>
    <row r="144" spans="2:18" x14ac:dyDescent="0.2">
      <c r="B144" s="36"/>
      <c r="C144" s="23" t="s">
        <v>14</v>
      </c>
      <c r="D144" s="140">
        <f t="shared" si="10"/>
        <v>5392.5451987198048</v>
      </c>
      <c r="E144" s="141">
        <f t="shared" si="11"/>
        <v>0.27012731481481483</v>
      </c>
      <c r="F144" s="106">
        <f t="shared" si="5"/>
        <v>0.89429926437647467</v>
      </c>
      <c r="G144" s="106">
        <f t="shared" si="6"/>
        <v>2.5245705775284621</v>
      </c>
      <c r="H144" s="106">
        <f>IF(E144="","",(((D144/VLOOKUP("dez",$C$139:D155,2,FALSE)-1)*100)))</f>
        <v>1.3589427360637396</v>
      </c>
      <c r="I144" s="107">
        <f t="shared" si="7"/>
        <v>3.4293159754477109</v>
      </c>
      <c r="J144" s="137"/>
      <c r="K144" s="40">
        <v>42490</v>
      </c>
      <c r="L144" s="41">
        <f t="shared" si="8"/>
        <v>0.32833333333333331</v>
      </c>
      <c r="M144" s="78">
        <f t="shared" si="3"/>
        <v>0.32833333333333331</v>
      </c>
      <c r="O144" s="138"/>
      <c r="P144" s="5"/>
      <c r="Q144" s="5"/>
      <c r="R144" s="5"/>
    </row>
    <row r="145" spans="2:18" x14ac:dyDescent="0.2">
      <c r="B145" s="36"/>
      <c r="C145" s="23" t="s">
        <v>15</v>
      </c>
      <c r="D145" s="140">
        <f t="shared" si="10"/>
        <v>5407.7416386642108</v>
      </c>
      <c r="E145" s="141">
        <f t="shared" si="11"/>
        <v>0.28180459104938266</v>
      </c>
      <c r="F145" s="106">
        <f t="shared" si="5"/>
        <v>0.84750804705611138</v>
      </c>
      <c r="G145" s="106">
        <f t="shared" si="6"/>
        <v>1.6445768901330871</v>
      </c>
      <c r="H145" s="106">
        <f>IF(E145="","",(((D145/VLOOKUP("dez",$C$139:D156,2,FALSE)-1)*100)))</f>
        <v>1.6445768901330871</v>
      </c>
      <c r="I145" s="107">
        <f t="shared" si="7"/>
        <v>3.7104134950080025</v>
      </c>
      <c r="J145" s="137"/>
      <c r="K145" s="40">
        <v>42521</v>
      </c>
      <c r="L145" s="41">
        <f t="shared" si="8"/>
        <v>0.29319444444444442</v>
      </c>
      <c r="M145" s="78">
        <f t="shared" si="3"/>
        <v>0.29319444444444442</v>
      </c>
      <c r="O145" s="138"/>
      <c r="P145" s="5"/>
      <c r="Q145" s="5"/>
      <c r="R145" s="5"/>
    </row>
    <row r="146" spans="2:18" x14ac:dyDescent="0.2">
      <c r="B146" s="36"/>
      <c r="C146" s="23" t="s">
        <v>16</v>
      </c>
      <c r="D146" s="140">
        <f t="shared" si="10"/>
        <v>5424.2057770445535</v>
      </c>
      <c r="E146" s="141">
        <f t="shared" si="11"/>
        <v>0.30445497363683122</v>
      </c>
      <c r="F146" s="106">
        <f t="shared" si="5"/>
        <v>0.85883081242053017</v>
      </c>
      <c r="G146" s="106">
        <f t="shared" si="6"/>
        <v>1.7403840533950721</v>
      </c>
      <c r="H146" s="106">
        <f>IF(E146="","",(((D146/VLOOKUP("dez",$C$139:D157,2,FALSE)-1)*100)))</f>
        <v>1.9540388599071923</v>
      </c>
      <c r="I146" s="107">
        <f t="shared" si="7"/>
        <v>3.8288901158527677</v>
      </c>
      <c r="J146" s="137"/>
      <c r="K146" s="40">
        <v>42551</v>
      </c>
      <c r="L146" s="41">
        <f t="shared" si="8"/>
        <v>0.27012731481481483</v>
      </c>
      <c r="M146" s="78">
        <f t="shared" si="3"/>
        <v>0.27012731481481483</v>
      </c>
      <c r="O146" s="138"/>
      <c r="P146" s="5"/>
      <c r="Q146" s="5"/>
      <c r="R146" s="5"/>
    </row>
    <row r="147" spans="2:18" x14ac:dyDescent="0.2">
      <c r="B147" s="36"/>
      <c r="C147" s="23" t="s">
        <v>17</v>
      </c>
      <c r="D147" s="140">
        <f t="shared" si="10"/>
        <v>5441.2373974207385</v>
      </c>
      <c r="E147" s="141">
        <f t="shared" si="11"/>
        <v>0.31399288810656717</v>
      </c>
      <c r="F147" s="106">
        <f t="shared" si="5"/>
        <v>0.90295392818391385</v>
      </c>
      <c r="G147" s="106">
        <f t="shared" si="6"/>
        <v>1.8053283028978129</v>
      </c>
      <c r="H147" s="106">
        <f>IF(E147="","",(((D147/VLOOKUP("dez",$C$139:D158,2,FALSE)-1)*100)))</f>
        <v>2.2741672910647104</v>
      </c>
      <c r="I147" s="107">
        <f t="shared" si="7"/>
        <v>4.0402620069500683</v>
      </c>
      <c r="J147" s="137"/>
      <c r="K147" s="40">
        <v>42582</v>
      </c>
      <c r="L147" s="41">
        <f t="shared" si="8"/>
        <v>0.28180459104938266</v>
      </c>
      <c r="M147" s="78">
        <f t="shared" si="3"/>
        <v>0.28180459104938266</v>
      </c>
      <c r="O147" s="138"/>
      <c r="P147" s="5"/>
      <c r="Q147" s="5"/>
      <c r="R147" s="5"/>
    </row>
    <row r="148" spans="2:18" x14ac:dyDescent="0.2">
      <c r="B148" s="19"/>
      <c r="C148" s="35" t="s">
        <v>18</v>
      </c>
      <c r="D148" s="140">
        <f t="shared" si="10"/>
        <v>5459.2474739832787</v>
      </c>
      <c r="E148" s="141">
        <f t="shared" si="11"/>
        <v>0.33099229544878112</v>
      </c>
      <c r="F148" s="106">
        <f t="shared" si="5"/>
        <v>0.95244630310760137</v>
      </c>
      <c r="G148" s="106">
        <f t="shared" si="6"/>
        <v>1.8080264092264375</v>
      </c>
      <c r="H148" s="106">
        <f>IF(E148="","",(((D148/VLOOKUP("dez",$C$139:D159,2,FALSE)-1)*100)))</f>
        <v>2.612686905032513</v>
      </c>
      <c r="I148" s="107">
        <f t="shared" si="7"/>
        <v>4.4263978174847951</v>
      </c>
      <c r="J148" s="137"/>
      <c r="K148" s="40">
        <v>42613</v>
      </c>
      <c r="L148" s="41">
        <f t="shared" si="8"/>
        <v>0.30445497363683122</v>
      </c>
      <c r="M148" s="78">
        <f t="shared" si="3"/>
        <v>0.30445497363683122</v>
      </c>
      <c r="O148" s="138"/>
      <c r="P148" s="5"/>
      <c r="Q148" s="5"/>
      <c r="R148" s="5"/>
    </row>
    <row r="149" spans="2:18" x14ac:dyDescent="0.2">
      <c r="B149" s="36"/>
      <c r="C149" s="23" t="s">
        <v>19</v>
      </c>
      <c r="D149" s="140">
        <f t="shared" si="10"/>
        <v>5479.0049448048085</v>
      </c>
      <c r="E149" s="141">
        <f t="shared" si="11"/>
        <v>0.36190832006951285</v>
      </c>
      <c r="F149" s="106">
        <f t="shared" si="5"/>
        <v>1.0102708122204263</v>
      </c>
      <c r="G149" s="106">
        <f t="shared" si="6"/>
        <v>1.8777781416651873</v>
      </c>
      <c r="H149" s="106">
        <f>IF(E149="","",(((D149/VLOOKUP("dez",$C$139:D160,2,FALSE)-1)*100)))</f>
        <v>2.9840507563887009</v>
      </c>
      <c r="I149" s="107">
        <f t="shared" si="7"/>
        <v>4.6996260135216517</v>
      </c>
      <c r="J149" s="137"/>
      <c r="K149" s="40">
        <v>42643</v>
      </c>
      <c r="L149" s="41">
        <f t="shared" si="8"/>
        <v>0.31399288810656717</v>
      </c>
      <c r="M149" s="78">
        <f t="shared" si="3"/>
        <v>0.31399288810656717</v>
      </c>
      <c r="O149" s="138"/>
      <c r="P149" s="5"/>
      <c r="Q149" s="5"/>
      <c r="R149" s="5"/>
    </row>
    <row r="150" spans="2:18" x14ac:dyDescent="0.2">
      <c r="B150" s="19"/>
      <c r="C150" s="35" t="s">
        <v>20</v>
      </c>
      <c r="D150" s="140">
        <f t="shared" si="10"/>
        <v>5500.029750374365</v>
      </c>
      <c r="E150" s="141">
        <f t="shared" si="11"/>
        <v>0.38373401340863894</v>
      </c>
      <c r="F150" s="106">
        <f t="shared" si="5"/>
        <v>1.0804960096300054</v>
      </c>
      <c r="G150" s="106">
        <f t="shared" si="6"/>
        <v>1.9932063189767479</v>
      </c>
      <c r="H150" s="106">
        <f>IF(E150="","",(((D150/VLOOKUP("dez",$C$139:D161,2,FALSE)-1)*100)))</f>
        <v>3.3792355875269742</v>
      </c>
      <c r="I150" s="107">
        <f t="shared" si="7"/>
        <v>4.5680967967835384</v>
      </c>
      <c r="J150" s="137"/>
      <c r="K150" s="40">
        <v>42674</v>
      </c>
      <c r="L150" s="41">
        <f t="shared" si="8"/>
        <v>0.33099229544878112</v>
      </c>
      <c r="M150" s="78">
        <f t="shared" si="3"/>
        <v>0.33099229544878112</v>
      </c>
      <c r="O150" s="138"/>
      <c r="P150" s="5"/>
      <c r="Q150" s="5"/>
      <c r="R150" s="5"/>
    </row>
    <row r="151" spans="2:18" x14ac:dyDescent="0.2">
      <c r="B151" s="36"/>
      <c r="C151" s="23" t="s">
        <v>21</v>
      </c>
      <c r="D151" s="140">
        <f t="shared" si="10"/>
        <v>5520.5565130385521</v>
      </c>
      <c r="E151" s="141">
        <f t="shared" si="11"/>
        <v>0.3732118478593589</v>
      </c>
      <c r="F151" s="106">
        <f t="shared" si="5"/>
        <v>1.123030955226878</v>
      </c>
      <c r="G151" s="106">
        <f t="shared" si="6"/>
        <v>2.0861735251503033</v>
      </c>
      <c r="H151" s="106">
        <f>IF(E151="","",(((D151/VLOOKUP("dez",$C$139:D162,2,FALSE)-1)*100)))</f>
        <v>3.7650591429660762</v>
      </c>
      <c r="I151" s="107">
        <f t="shared" si="7"/>
        <v>3.7650591429660762</v>
      </c>
      <c r="J151" s="137"/>
      <c r="K151" s="40">
        <v>42704</v>
      </c>
      <c r="L151" s="41">
        <f t="shared" si="8"/>
        <v>0.36190832006951285</v>
      </c>
      <c r="M151" s="78">
        <f t="shared" ref="M151:M214" si="12">IF(L150="",M150,AVERAGE(L139:L150))</f>
        <v>0.36190832006951285</v>
      </c>
      <c r="O151" s="138"/>
      <c r="P151" s="5"/>
      <c r="Q151" s="5"/>
      <c r="R151" s="5"/>
    </row>
    <row r="152" spans="2:18" x14ac:dyDescent="0.2">
      <c r="B152" s="36">
        <v>2021</v>
      </c>
      <c r="C152" s="23" t="s">
        <v>10</v>
      </c>
      <c r="D152" s="140">
        <f t="shared" si="10"/>
        <v>5537.5862982691915</v>
      </c>
      <c r="E152" s="141">
        <f t="shared" si="11"/>
        <v>0.30847950184763878</v>
      </c>
      <c r="F152" s="106">
        <f t="shared" si="5"/>
        <v>1.0691969446008587</v>
      </c>
      <c r="G152" s="106">
        <f t="shared" si="6"/>
        <v>2.0902695414777295</v>
      </c>
      <c r="H152" s="106">
        <f>IF(E152="","",(((D152/VLOOKUP("dez",$C151:D$151,2,FALSE)-1)*100)))</f>
        <v>0.30847950184764716</v>
      </c>
      <c r="I152" s="107">
        <f t="shared" si="7"/>
        <v>3.8670323126456685</v>
      </c>
      <c r="J152" s="137"/>
      <c r="K152" s="40">
        <v>42735</v>
      </c>
      <c r="L152" s="41">
        <f t="shared" si="8"/>
        <v>0.38373401340863894</v>
      </c>
      <c r="M152" s="78">
        <f t="shared" si="12"/>
        <v>0.38373401340863894</v>
      </c>
      <c r="O152" s="138"/>
      <c r="P152" s="5"/>
      <c r="Q152" s="5"/>
      <c r="R152" s="5"/>
    </row>
    <row r="153" spans="2:18" x14ac:dyDescent="0.2">
      <c r="B153" s="36"/>
      <c r="C153" s="23" t="s">
        <v>11</v>
      </c>
      <c r="D153" s="140">
        <f t="shared" si="10"/>
        <v>5555.1230658465529</v>
      </c>
      <c r="E153" s="141">
        <f t="shared" si="11"/>
        <v>0.3166861270016087</v>
      </c>
      <c r="F153" s="106">
        <f t="shared" si="5"/>
        <v>1.0016912266417766</v>
      </c>
      <c r="G153" s="106">
        <f t="shared" si="6"/>
        <v>2.0930104700044527</v>
      </c>
      <c r="H153" s="106">
        <f>IF(E153="","",(((D153/VLOOKUP("dez",$C$151:D152,2,FALSE)-1)*100)))</f>
        <v>0.62614254063626529</v>
      </c>
      <c r="I153" s="107">
        <f t="shared" si="7"/>
        <v>3.9361244832998743</v>
      </c>
      <c r="J153" s="137"/>
      <c r="K153" s="40">
        <v>42766</v>
      </c>
      <c r="L153" s="41">
        <f t="shared" si="8"/>
        <v>0.3732118478593589</v>
      </c>
      <c r="M153" s="78">
        <f t="shared" si="12"/>
        <v>0.3732118478593589</v>
      </c>
      <c r="O153" s="138"/>
      <c r="P153" s="5"/>
      <c r="Q153" s="5"/>
      <c r="R153" s="5"/>
    </row>
    <row r="154" spans="2:18" x14ac:dyDescent="0.2">
      <c r="B154" s="36"/>
      <c r="C154" s="23" t="s">
        <v>12</v>
      </c>
      <c r="D154" s="140">
        <f t="shared" si="10"/>
        <v>5573.0240779691876</v>
      </c>
      <c r="E154" s="141">
        <f t="shared" si="11"/>
        <v>0.32224330425174275</v>
      </c>
      <c r="F154" s="106">
        <f t="shared" si="5"/>
        <v>0.95040354730029364</v>
      </c>
      <c r="G154" s="106">
        <f t="shared" si="6"/>
        <v>2.08410782856292</v>
      </c>
      <c r="H154" s="106">
        <f>IF(E154="","",(((D154/VLOOKUP("dez",$C$151:D153,2,FALSE)-1)*100)))</f>
        <v>0.95040354730029364</v>
      </c>
      <c r="I154" s="107">
        <f t="shared" si="7"/>
        <v>3.9298154577265265</v>
      </c>
      <c r="J154" s="137"/>
      <c r="K154" s="40">
        <v>42794</v>
      </c>
      <c r="L154" s="41">
        <f t="shared" si="8"/>
        <v>0.30847950184763878</v>
      </c>
      <c r="M154" s="78">
        <f t="shared" si="12"/>
        <v>0.30847950184763878</v>
      </c>
      <c r="O154" s="138"/>
      <c r="P154" s="5"/>
      <c r="Q154" s="5"/>
      <c r="R154" s="5"/>
    </row>
    <row r="155" spans="2:18" x14ac:dyDescent="0.2">
      <c r="B155" s="36"/>
      <c r="C155" s="23" t="s">
        <v>13</v>
      </c>
      <c r="D155" s="140">
        <f t="shared" si="10"/>
        <v>5590.9544916725254</v>
      </c>
      <c r="E155" s="141">
        <f t="shared" si="11"/>
        <v>0.32173580182827688</v>
      </c>
      <c r="F155" s="106">
        <f t="shared" si="5"/>
        <v>0.96374468096351862</v>
      </c>
      <c r="G155" s="106">
        <f t="shared" si="6"/>
        <v>2.0432459542469861</v>
      </c>
      <c r="H155" s="106">
        <f>IF(E155="","",(((D155/VLOOKUP("dez",$C$151:D154,2,FALSE)-1)*100)))</f>
        <v>1.275197137602091</v>
      </c>
      <c r="I155" s="107">
        <f t="shared" si="7"/>
        <v>3.9593917218214925</v>
      </c>
      <c r="J155" s="137"/>
      <c r="K155" s="40">
        <v>42825</v>
      </c>
      <c r="L155" s="41">
        <f t="shared" si="8"/>
        <v>0.3166861270016087</v>
      </c>
      <c r="M155" s="78">
        <f t="shared" si="12"/>
        <v>0.3166861270016087</v>
      </c>
      <c r="O155" s="138"/>
      <c r="P155" s="5"/>
      <c r="Q155" s="5"/>
      <c r="R155" s="5"/>
    </row>
    <row r="156" spans="2:18" x14ac:dyDescent="0.2">
      <c r="B156" s="36"/>
      <c r="C156" s="23" t="s">
        <v>14</v>
      </c>
      <c r="D156" s="140">
        <f t="shared" si="10"/>
        <v>5609.0755717947141</v>
      </c>
      <c r="E156" s="141">
        <f t="shared" si="11"/>
        <v>0.32411424827692958</v>
      </c>
      <c r="F156" s="106">
        <f t="shared" si="5"/>
        <v>0.97122071480046923</v>
      </c>
      <c r="G156" s="106">
        <f t="shared" si="6"/>
        <v>1.9826405741337538</v>
      </c>
      <c r="H156" s="106">
        <f>IF(E156="","",(((D156/VLOOKUP("dez",$C$151:D155,2,FALSE)-1)*100)))</f>
        <v>1.6034444814955862</v>
      </c>
      <c r="I156" s="107">
        <f t="shared" si="7"/>
        <v>4.0153650103167182</v>
      </c>
      <c r="J156" s="137"/>
      <c r="K156" s="40">
        <v>42855</v>
      </c>
      <c r="L156" s="41">
        <f t="shared" si="8"/>
        <v>0.32224330425174275</v>
      </c>
      <c r="M156" s="78">
        <f t="shared" si="12"/>
        <v>0.32224330425174275</v>
      </c>
      <c r="O156" s="138"/>
      <c r="P156" s="5"/>
      <c r="Q156" s="5"/>
      <c r="R156" s="5"/>
    </row>
    <row r="157" spans="2:18" x14ac:dyDescent="0.2">
      <c r="B157" s="36"/>
      <c r="C157" s="23" t="s">
        <v>15</v>
      </c>
      <c r="D157" s="140">
        <f t="shared" si="10"/>
        <v>5627.5077322442539</v>
      </c>
      <c r="E157" s="141">
        <f t="shared" si="11"/>
        <v>0.32861315939877245</v>
      </c>
      <c r="F157" s="106">
        <f t="shared" si="5"/>
        <v>0.97763177608449769</v>
      </c>
      <c r="G157" s="106">
        <f t="shared" si="6"/>
        <v>1.9373267704642094</v>
      </c>
      <c r="H157" s="106">
        <f>IF(E157="","",(((D157/VLOOKUP("dez",$C$151:D156,2,FALSE)-1)*100)))</f>
        <v>1.9373267704642094</v>
      </c>
      <c r="I157" s="107">
        <f t="shared" si="7"/>
        <v>4.0639162937955886</v>
      </c>
      <c r="J157" s="137"/>
      <c r="K157" s="40">
        <v>42886</v>
      </c>
      <c r="L157" s="41">
        <f t="shared" si="8"/>
        <v>0.32173580182827688</v>
      </c>
      <c r="M157" s="78">
        <f t="shared" si="12"/>
        <v>0.32173580182827688</v>
      </c>
      <c r="O157" s="138"/>
      <c r="P157" s="5"/>
      <c r="Q157" s="5"/>
      <c r="R157" s="5"/>
    </row>
    <row r="158" spans="2:18" x14ac:dyDescent="0.2">
      <c r="B158" s="36"/>
      <c r="C158" s="23" t="s">
        <v>16</v>
      </c>
      <c r="D158" s="140">
        <f t="shared" si="10"/>
        <v>5646.2199761821939</v>
      </c>
      <c r="E158" s="141">
        <f t="shared" si="11"/>
        <v>0.3325138734278883</v>
      </c>
      <c r="F158" s="106">
        <f t="shared" si="5"/>
        <v>0.98848031390674773</v>
      </c>
      <c r="G158" s="106">
        <f t="shared" si="6"/>
        <v>1.9617514213179144</v>
      </c>
      <c r="H158" s="106">
        <f>IF(E158="","",(((D158/VLOOKUP("dez",$C$151:D157,2,FALSE)-1)*100)))</f>
        <v>2.2762825241775531</v>
      </c>
      <c r="I158" s="107">
        <f t="shared" si="7"/>
        <v>4.0930268552349824</v>
      </c>
      <c r="J158" s="137"/>
      <c r="K158" s="40">
        <v>42916</v>
      </c>
      <c r="L158" s="41">
        <f t="shared" si="8"/>
        <v>0.32411424827692958</v>
      </c>
      <c r="M158" s="78">
        <f t="shared" si="12"/>
        <v>0.32411424827692958</v>
      </c>
      <c r="O158" s="138"/>
      <c r="P158" s="5"/>
      <c r="Q158" s="5"/>
      <c r="R158" s="5"/>
    </row>
    <row r="159" spans="2:18" x14ac:dyDescent="0.2">
      <c r="B159" s="36"/>
      <c r="C159" s="23" t="s">
        <v>17</v>
      </c>
      <c r="D159" s="140">
        <f t="shared" si="10"/>
        <v>5665.1264631943477</v>
      </c>
      <c r="E159" s="141">
        <f t="shared" si="11"/>
        <v>0.33485211507714308</v>
      </c>
      <c r="F159" s="106">
        <f t="shared" si="5"/>
        <v>0.99928928897814462</v>
      </c>
      <c r="G159" s="106">
        <f t="shared" si="6"/>
        <v>1.9802153083539498</v>
      </c>
      <c r="H159" s="106">
        <f>IF(E159="","",(((D159/VLOOKUP("dez",$C$151:D158,2,FALSE)-1)*100)))</f>
        <v>2.6187568194320221</v>
      </c>
      <c r="I159" s="107">
        <f t="shared" si="7"/>
        <v>4.1146718920908931</v>
      </c>
      <c r="J159" s="137"/>
      <c r="K159" s="40">
        <v>42947</v>
      </c>
      <c r="L159" s="41">
        <f t="shared" si="8"/>
        <v>0.32861315939877245</v>
      </c>
      <c r="M159" s="78">
        <f t="shared" si="12"/>
        <v>0.32861315939877245</v>
      </c>
      <c r="O159" s="138"/>
      <c r="P159" s="5"/>
      <c r="Q159" s="5"/>
      <c r="R159" s="5"/>
    </row>
    <row r="160" spans="2:18" x14ac:dyDescent="0.2">
      <c r="B160" s="19"/>
      <c r="C160" s="35" t="s">
        <v>18</v>
      </c>
      <c r="D160" s="140">
        <f t="shared" si="10"/>
        <v>5684.1947341104096</v>
      </c>
      <c r="E160" s="141">
        <f t="shared" si="11"/>
        <v>0.33659038399135771</v>
      </c>
      <c r="F160" s="106">
        <f t="shared" si="5"/>
        <v>1.0073198396752581</v>
      </c>
      <c r="G160" s="106">
        <f t="shared" si="6"/>
        <v>1.9947994945992198</v>
      </c>
      <c r="H160" s="106">
        <f>IF(E160="","",(((D160/VLOOKUP("dez",$C$151:D159,2,FALSE)-1)*100)))</f>
        <v>2.9641616870577092</v>
      </c>
      <c r="I160" s="107">
        <f t="shared" si="7"/>
        <v>4.1204810955932203</v>
      </c>
      <c r="J160" s="137"/>
      <c r="K160" s="40">
        <v>42978</v>
      </c>
      <c r="L160" s="41">
        <f t="shared" si="8"/>
        <v>0.3325138734278883</v>
      </c>
      <c r="M160" s="78">
        <f t="shared" si="12"/>
        <v>0.3325138734278883</v>
      </c>
      <c r="O160" s="138"/>
      <c r="P160" s="5"/>
      <c r="Q160" s="5"/>
      <c r="R160" s="5"/>
    </row>
    <row r="161" spans="2:18" x14ac:dyDescent="0.2">
      <c r="B161" s="36"/>
      <c r="C161" s="23" t="s">
        <v>19</v>
      </c>
      <c r="D161" s="140">
        <f t="shared" si="10"/>
        <v>5703.3537041806148</v>
      </c>
      <c r="E161" s="141">
        <f t="shared" si="11"/>
        <v>0.33705689136990569</v>
      </c>
      <c r="F161" s="106">
        <f t="shared" si="5"/>
        <v>1.0118934125739276</v>
      </c>
      <c r="G161" s="106">
        <f t="shared" si="6"/>
        <v>2.0103760936617032</v>
      </c>
      <c r="H161" s="106">
        <f>IF(E161="","",(((D161/VLOOKUP("dez",$C$151:D160,2,FALSE)-1)*100)))</f>
        <v>3.31120948966519</v>
      </c>
      <c r="I161" s="107">
        <f t="shared" si="7"/>
        <v>4.0946989761075914</v>
      </c>
      <c r="J161" s="137"/>
      <c r="K161" s="40">
        <v>43008</v>
      </c>
      <c r="L161" s="41">
        <f t="shared" si="8"/>
        <v>0.33485211507714308</v>
      </c>
      <c r="M161" s="78">
        <f t="shared" si="12"/>
        <v>0.33485211507714308</v>
      </c>
      <c r="O161" s="138"/>
      <c r="P161" s="5"/>
      <c r="Q161" s="5"/>
      <c r="R161" s="5"/>
    </row>
    <row r="162" spans="2:18" x14ac:dyDescent="0.2">
      <c r="B162" s="19"/>
      <c r="C162" s="35" t="s">
        <v>20</v>
      </c>
      <c r="D162" s="140">
        <f t="shared" si="10"/>
        <v>5722.4591371398164</v>
      </c>
      <c r="E162" s="141">
        <f t="shared" si="11"/>
        <v>0.33498593897827172</v>
      </c>
      <c r="F162" s="106">
        <f t="shared" si="5"/>
        <v>1.0120281394943698</v>
      </c>
      <c r="G162" s="106">
        <f t="shared" si="6"/>
        <v>2.0214305172719049</v>
      </c>
      <c r="H162" s="106">
        <f>IF(E162="","",(((D162/VLOOKUP("dez",$C$151:D161,2,FALSE)-1)*100)))</f>
        <v>3.6572875148439765</v>
      </c>
      <c r="I162" s="107">
        <f t="shared" si="7"/>
        <v>4.0441487930190201</v>
      </c>
      <c r="J162" s="137"/>
      <c r="K162" s="40">
        <v>43039</v>
      </c>
      <c r="L162" s="41">
        <f t="shared" si="8"/>
        <v>0.33659038399135771</v>
      </c>
      <c r="M162" s="78">
        <f t="shared" si="12"/>
        <v>0.33659038399135771</v>
      </c>
      <c r="O162" s="138"/>
      <c r="P162" s="5"/>
      <c r="Q162" s="5"/>
      <c r="R162" s="5"/>
    </row>
    <row r="163" spans="2:18" x14ac:dyDescent="0.2">
      <c r="B163" s="36"/>
      <c r="C163" s="23" t="s">
        <v>21</v>
      </c>
      <c r="D163" s="140">
        <f t="shared" si="10"/>
        <v>5741.3961048930605</v>
      </c>
      <c r="E163" s="141">
        <f t="shared" si="11"/>
        <v>0.33092359944240785</v>
      </c>
      <c r="F163" s="106">
        <f t="shared" si="5"/>
        <v>1.0063232077428541</v>
      </c>
      <c r="G163" s="106">
        <f t="shared" si="6"/>
        <v>2.0237799407409662</v>
      </c>
      <c r="H163" s="106">
        <f>IF(E163="","",(((D163/VLOOKUP("dez",$C$151:D162,2,FALSE)-1)*100)))</f>
        <v>4.0003139417724487</v>
      </c>
      <c r="I163" s="107">
        <f t="shared" si="7"/>
        <v>4.0003139417724487</v>
      </c>
      <c r="J163" s="137"/>
      <c r="K163" s="40">
        <v>43069</v>
      </c>
      <c r="L163" s="41">
        <f t="shared" si="8"/>
        <v>0.33705689136990569</v>
      </c>
      <c r="M163" s="78">
        <f t="shared" si="12"/>
        <v>0.33705689136990569</v>
      </c>
      <c r="O163" s="138"/>
      <c r="P163" s="5"/>
      <c r="Q163" s="5"/>
      <c r="R163" s="5"/>
    </row>
    <row r="164" spans="2:18" x14ac:dyDescent="0.2">
      <c r="B164" s="36">
        <v>2022</v>
      </c>
      <c r="C164" s="23" t="s">
        <v>10</v>
      </c>
      <c r="D164" s="140">
        <f t="shared" si="10"/>
        <v>5760.1934115543327</v>
      </c>
      <c r="E164" s="141">
        <f t="shared" si="11"/>
        <v>0.32739957874099529</v>
      </c>
      <c r="F164" s="106">
        <f t="shared" si="5"/>
        <v>0.99660147909208519</v>
      </c>
      <c r="G164" s="106">
        <f t="shared" si="6"/>
        <v>2.0185794363825726</v>
      </c>
      <c r="H164" s="106">
        <f>IF(E164="","",(((D164/VLOOKUP("dez",$C$163:D163,2,FALSE)-1)*100)))</f>
        <v>0.32739957874099446</v>
      </c>
      <c r="I164" s="107">
        <f t="shared" si="7"/>
        <v>4.0199303684841592</v>
      </c>
      <c r="J164" s="137"/>
      <c r="K164" s="40">
        <v>43100</v>
      </c>
      <c r="L164" s="41">
        <f t="shared" si="8"/>
        <v>0.33498593897827172</v>
      </c>
      <c r="M164" s="78">
        <f t="shared" si="12"/>
        <v>0.33498593897827172</v>
      </c>
      <c r="O164" s="138"/>
      <c r="P164" s="5"/>
      <c r="Q164" s="5"/>
      <c r="R164" s="5"/>
    </row>
    <row r="165" spans="2:18" x14ac:dyDescent="0.2">
      <c r="B165" s="36"/>
      <c r="C165" s="23" t="s">
        <v>11</v>
      </c>
      <c r="D165" s="140">
        <f t="shared" si="10"/>
        <v>5779.1430799369846</v>
      </c>
      <c r="E165" s="141">
        <f t="shared" si="11"/>
        <v>0.32897625181544171</v>
      </c>
      <c r="F165" s="106">
        <f t="shared" si="5"/>
        <v>0.99055216365424581</v>
      </c>
      <c r="G165" s="106">
        <f t="shared" si="6"/>
        <v>2.012604969781151</v>
      </c>
      <c r="H165" s="106">
        <f>IF(E165="","",(((D165/VLOOKUP("dez",$C$163:D164,2,FALSE)-1)*100)))</f>
        <v>0.657452897419053</v>
      </c>
      <c r="I165" s="107">
        <f t="shared" si="7"/>
        <v>4.0326741898434104</v>
      </c>
      <c r="J165" s="137"/>
      <c r="K165" s="40">
        <v>43131</v>
      </c>
      <c r="L165" s="41">
        <f t="shared" si="8"/>
        <v>0.33092359944240785</v>
      </c>
      <c r="M165" s="78">
        <f t="shared" si="12"/>
        <v>0.33092359944240785</v>
      </c>
      <c r="O165" s="138"/>
      <c r="P165" s="5"/>
      <c r="Q165" s="5"/>
      <c r="R165" s="5"/>
    </row>
    <row r="166" spans="2:18" x14ac:dyDescent="0.2">
      <c r="B166" s="36"/>
      <c r="C166" s="23" t="s">
        <v>12</v>
      </c>
      <c r="D166" s="140">
        <f t="shared" si="10"/>
        <v>5798.2142768865542</v>
      </c>
      <c r="E166" s="141">
        <f t="shared" si="11"/>
        <v>0.33000042888326109</v>
      </c>
      <c r="F166" s="106">
        <f t="shared" si="5"/>
        <v>0.98962292368349747</v>
      </c>
      <c r="G166" s="106">
        <f t="shared" si="6"/>
        <v>2.0059049365765524</v>
      </c>
      <c r="H166" s="106">
        <f>IF(E166="","",(((D166/VLOOKUP("dez",$C$163:D165,2,FALSE)-1)*100)))</f>
        <v>0.98962292368349747</v>
      </c>
      <c r="I166" s="107">
        <f t="shared" si="7"/>
        <v>4.0407182127127239</v>
      </c>
      <c r="J166" s="137"/>
      <c r="K166" s="40">
        <v>43159</v>
      </c>
      <c r="L166" s="41">
        <f t="shared" si="8"/>
        <v>0.32739957874099529</v>
      </c>
      <c r="M166" s="78">
        <f t="shared" si="12"/>
        <v>0.32739957874099529</v>
      </c>
      <c r="O166" s="138"/>
      <c r="P166" s="5"/>
      <c r="Q166" s="5"/>
      <c r="R166" s="5"/>
    </row>
    <row r="167" spans="2:18" x14ac:dyDescent="0.2">
      <c r="B167" s="36"/>
      <c r="C167" s="23" t="s">
        <v>13</v>
      </c>
      <c r="D167" s="140">
        <f t="shared" si="10"/>
        <v>5817.3858900935056</v>
      </c>
      <c r="E167" s="141">
        <f t="shared" si="11"/>
        <v>0.33064685593588766</v>
      </c>
      <c r="F167" s="106">
        <f t="shared" si="5"/>
        <v>0.99289163493105903</v>
      </c>
      <c r="G167" s="106">
        <f t="shared" si="6"/>
        <v>1.9993882867426649</v>
      </c>
      <c r="H167" s="106">
        <f>IF(E167="","",(((D167/VLOOKUP("dez",$C$163:D166,2,FALSE)-1)*100)))</f>
        <v>1.3235419367021883</v>
      </c>
      <c r="I167" s="107">
        <f t="shared" si="7"/>
        <v>4.0499596045405095</v>
      </c>
      <c r="J167" s="137"/>
      <c r="K167" s="40">
        <v>43190</v>
      </c>
      <c r="L167" s="41">
        <f t="shared" si="8"/>
        <v>0.32897625181544171</v>
      </c>
      <c r="M167" s="78">
        <f t="shared" si="12"/>
        <v>0.32897625181544171</v>
      </c>
      <c r="O167" s="138"/>
      <c r="P167" s="5"/>
      <c r="Q167" s="5"/>
      <c r="R167" s="5"/>
    </row>
    <row r="168" spans="2:18" x14ac:dyDescent="0.2">
      <c r="B168" s="36"/>
      <c r="C168" s="23" t="s">
        <v>14</v>
      </c>
      <c r="D168" s="140">
        <f t="shared" si="10"/>
        <v>5836.664092837118</v>
      </c>
      <c r="E168" s="141">
        <f t="shared" si="11"/>
        <v>0.33138944377818852</v>
      </c>
      <c r="F168" s="106">
        <f t="shared" si="5"/>
        <v>0.99532079591220235</v>
      </c>
      <c r="G168" s="106">
        <f t="shared" si="6"/>
        <v>1.9957321312456422</v>
      </c>
      <c r="H168" s="106">
        <f>IF(E168="","",(((D168/VLOOKUP("dez",$C$163:D167,2,FALSE)-1)*100)))</f>
        <v>1.659317458742593</v>
      </c>
      <c r="I168" s="107">
        <f t="shared" si="7"/>
        <v>4.0575049868615487</v>
      </c>
      <c r="J168" s="137"/>
      <c r="K168" s="40">
        <v>43220</v>
      </c>
      <c r="L168" s="41">
        <f t="shared" si="8"/>
        <v>0.33000042888326109</v>
      </c>
      <c r="M168" s="78">
        <f t="shared" si="12"/>
        <v>0.33000042888326109</v>
      </c>
      <c r="O168" s="138"/>
      <c r="P168" s="5"/>
      <c r="Q168" s="5"/>
      <c r="R168" s="5"/>
    </row>
    <row r="169" spans="2:18" x14ac:dyDescent="0.2">
      <c r="B169" s="36"/>
      <c r="C169" s="23" t="s">
        <v>15</v>
      </c>
      <c r="D169" s="140">
        <f t="shared" si="10"/>
        <v>5856.0415672365316</v>
      </c>
      <c r="E169" s="141">
        <f t="shared" si="11"/>
        <v>0.33199571006996015</v>
      </c>
      <c r="F169" s="106">
        <f t="shared" si="5"/>
        <v>0.99732930844751433</v>
      </c>
      <c r="G169" s="106">
        <f t="shared" si="6"/>
        <v>1.996822031592016</v>
      </c>
      <c r="H169" s="106">
        <f>IF(E169="","",(((D169/VLOOKUP("dez",$C$163:D168,2,FALSE)-1)*100)))</f>
        <v>1.996822031592016</v>
      </c>
      <c r="I169" s="107">
        <f t="shared" si="7"/>
        <v>4.0610132560606527</v>
      </c>
      <c r="J169" s="137"/>
      <c r="K169" s="40">
        <v>43251</v>
      </c>
      <c r="L169" s="41">
        <f t="shared" si="8"/>
        <v>0.33064685593588766</v>
      </c>
      <c r="M169" s="78">
        <f t="shared" si="12"/>
        <v>0.33064685593588766</v>
      </c>
      <c r="O169" s="138"/>
      <c r="P169" s="5"/>
      <c r="Q169" s="5"/>
      <c r="R169" s="5"/>
    </row>
    <row r="170" spans="2:18" x14ac:dyDescent="0.2">
      <c r="B170" s="36"/>
      <c r="C170" s="23" t="s">
        <v>16</v>
      </c>
      <c r="D170" s="140">
        <f t="shared" si="10"/>
        <v>5875.4998809841145</v>
      </c>
      <c r="E170" s="141">
        <f t="shared" si="11"/>
        <v>0.33227758929255907</v>
      </c>
      <c r="F170" s="106">
        <f t="shared" si="5"/>
        <v>0.99897087778846316</v>
      </c>
      <c r="G170" s="106">
        <f t="shared" si="6"/>
        <v>2.0017812110004751</v>
      </c>
      <c r="H170" s="106">
        <f>IF(E170="","",(((D170/VLOOKUP("dez",$C$163:D169,2,FALSE)-1)*100)))</f>
        <v>2.3357346129936118</v>
      </c>
      <c r="I170" s="107">
        <f t="shared" si="7"/>
        <v>4.0607681912696814</v>
      </c>
      <c r="J170" s="137"/>
      <c r="K170" s="40">
        <v>43281</v>
      </c>
      <c r="L170" s="41">
        <f t="shared" si="8"/>
        <v>0.33138944377818852</v>
      </c>
      <c r="M170" s="78">
        <f t="shared" si="12"/>
        <v>0.33138944377818852</v>
      </c>
      <c r="O170" s="138"/>
      <c r="P170" s="5"/>
      <c r="Q170" s="5"/>
      <c r="R170" s="5"/>
    </row>
    <row r="171" spans="2:18" x14ac:dyDescent="0.2">
      <c r="B171" s="36"/>
      <c r="C171" s="23" t="s">
        <v>17</v>
      </c>
      <c r="D171" s="140">
        <f t="shared" si="10"/>
        <v>5895.021693441362</v>
      </c>
      <c r="E171" s="141">
        <f t="shared" si="11"/>
        <v>0.33225789894794827</v>
      </c>
      <c r="F171" s="106">
        <f t="shared" si="5"/>
        <v>0.99984511145436716</v>
      </c>
      <c r="G171" s="106">
        <f t="shared" si="6"/>
        <v>2.0051175736877758</v>
      </c>
      <c r="H171" s="106">
        <f>IF(E171="","",(((D171/VLOOKUP("dez",$C$163:D170,2,FALSE)-1)*100)))</f>
        <v>2.6757531746916863</v>
      </c>
      <c r="I171" s="107">
        <f t="shared" si="7"/>
        <v>4.0580776394069318</v>
      </c>
      <c r="J171" s="137"/>
      <c r="K171" s="40">
        <v>43312</v>
      </c>
      <c r="L171" s="41">
        <f t="shared" si="8"/>
        <v>0.33199571006996015</v>
      </c>
      <c r="M171" s="78">
        <f t="shared" si="12"/>
        <v>0.33199571006996015</v>
      </c>
      <c r="O171" s="138"/>
      <c r="P171" s="5"/>
      <c r="Q171" s="5"/>
      <c r="R171" s="5"/>
    </row>
    <row r="172" spans="2:18" x14ac:dyDescent="0.2">
      <c r="B172" s="19"/>
      <c r="C172" s="35" t="s">
        <v>18</v>
      </c>
      <c r="D172" s="140">
        <f t="shared" si="10"/>
        <v>5914.5956245288844</v>
      </c>
      <c r="E172" s="141">
        <f t="shared" si="11"/>
        <v>0.33204171427051543</v>
      </c>
      <c r="F172" s="106">
        <f t="shared" si="5"/>
        <v>0.99989142187706381</v>
      </c>
      <c r="G172" s="106">
        <f t="shared" si="6"/>
        <v>2.0071929405276023</v>
      </c>
      <c r="H172" s="106">
        <f>IF(E172="","",(((D172/VLOOKUP("dez",$C$163:D171,2,FALSE)-1)*100)))</f>
        <v>3.0166795056731255</v>
      </c>
      <c r="I172" s="107">
        <f t="shared" si="7"/>
        <v>4.0533602593848084</v>
      </c>
      <c r="J172" s="137"/>
      <c r="K172" s="40">
        <v>43343</v>
      </c>
      <c r="L172" s="41">
        <f t="shared" si="8"/>
        <v>0.33227758929255907</v>
      </c>
      <c r="M172" s="78">
        <f t="shared" si="12"/>
        <v>0.33227758929255907</v>
      </c>
      <c r="O172" s="138"/>
      <c r="P172" s="5"/>
      <c r="Q172" s="5"/>
      <c r="R172" s="5"/>
    </row>
    <row r="173" spans="2:18" x14ac:dyDescent="0.2">
      <c r="B173" s="36"/>
      <c r="C173" s="23" t="s">
        <v>19</v>
      </c>
      <c r="D173" s="140">
        <f t="shared" si="10"/>
        <v>5934.2121296143823</v>
      </c>
      <c r="E173" s="141">
        <f t="shared" si="11"/>
        <v>0.33166265846044524</v>
      </c>
      <c r="F173" s="106">
        <f t="shared" si="5"/>
        <v>0.99927239927768419</v>
      </c>
      <c r="G173" s="106">
        <f t="shared" si="6"/>
        <v>2.0082257173247076</v>
      </c>
      <c r="H173" s="106">
        <f>IF(E173="","",(((D173/VLOOKUP("dez",$C$163:D172,2,FALSE)-1)*100)))</f>
        <v>3.3583473635793171</v>
      </c>
      <c r="I173" s="107">
        <f t="shared" si="7"/>
        <v>4.0477662338309184</v>
      </c>
      <c r="J173" s="137"/>
      <c r="K173" s="40">
        <v>43373</v>
      </c>
      <c r="L173" s="41">
        <f t="shared" si="8"/>
        <v>0.33225789894794827</v>
      </c>
      <c r="M173" s="78">
        <f t="shared" si="12"/>
        <v>0.33225789894794827</v>
      </c>
      <c r="O173" s="138"/>
      <c r="P173" s="5"/>
      <c r="Q173" s="5"/>
      <c r="R173" s="5"/>
    </row>
    <row r="174" spans="2:18" x14ac:dyDescent="0.2">
      <c r="B174" s="19"/>
      <c r="C174" s="35" t="s">
        <v>20</v>
      </c>
      <c r="D174" s="140">
        <f t="shared" si="10"/>
        <v>5953.8670198868431</v>
      </c>
      <c r="E174" s="141">
        <f t="shared" si="11"/>
        <v>0.33121313905132355</v>
      </c>
      <c r="F174" s="106">
        <f t="shared" si="5"/>
        <v>0.9982206937584337</v>
      </c>
      <c r="G174" s="106">
        <f t="shared" si="6"/>
        <v>2.0080464660208852</v>
      </c>
      <c r="H174" s="106">
        <f>IF(E174="","",(((D174/VLOOKUP("dez",$C$163:D173,2,FALSE)-1)*100)))</f>
        <v>3.7006837903538203</v>
      </c>
      <c r="I174" s="107">
        <f t="shared" si="7"/>
        <v>4.0438538257992374</v>
      </c>
      <c r="J174" s="137"/>
      <c r="K174" s="40">
        <v>43404</v>
      </c>
      <c r="L174" s="41">
        <f t="shared" si="8"/>
        <v>0.33204171427051543</v>
      </c>
      <c r="M174" s="78">
        <f t="shared" si="12"/>
        <v>0.33204171427051543</v>
      </c>
      <c r="O174" s="138"/>
      <c r="P174" s="5"/>
      <c r="Q174" s="5"/>
      <c r="R174" s="5"/>
    </row>
    <row r="175" spans="2:18" x14ac:dyDescent="0.2">
      <c r="B175" s="36"/>
      <c r="C175" s="23" t="s">
        <v>21</v>
      </c>
      <c r="D175" s="140">
        <f t="shared" si="10"/>
        <v>5973.5682907808032</v>
      </c>
      <c r="E175" s="141">
        <f t="shared" si="11"/>
        <v>0.33089873905741118</v>
      </c>
      <c r="F175" s="106">
        <f t="shared" si="5"/>
        <v>0.99707012948355711</v>
      </c>
      <c r="G175" s="106">
        <f t="shared" si="6"/>
        <v>2.0069311700554149</v>
      </c>
      <c r="H175" s="106">
        <f>IF(E175="","",(((D175/VLOOKUP("dez",$C$163:D174,2,FALSE)-1)*100)))</f>
        <v>4.0438280454099917</v>
      </c>
      <c r="I175" s="107">
        <f t="shared" si="7"/>
        <v>4.0438280454099917</v>
      </c>
      <c r="J175" s="137"/>
      <c r="K175" s="40">
        <v>43434</v>
      </c>
      <c r="L175" s="41">
        <f t="shared" si="8"/>
        <v>0.33166265846044524</v>
      </c>
      <c r="M175" s="78">
        <f t="shared" si="12"/>
        <v>0.33166265846044524</v>
      </c>
      <c r="O175" s="138"/>
      <c r="P175" s="5"/>
      <c r="Q175" s="5"/>
      <c r="R175" s="5"/>
    </row>
    <row r="176" spans="2:18" x14ac:dyDescent="0.2">
      <c r="B176" s="36">
        <v>2023</v>
      </c>
      <c r="C176" s="23" t="s">
        <v>10</v>
      </c>
      <c r="D176" s="140">
        <f t="shared" si="10"/>
        <v>5993.3346291773905</v>
      </c>
      <c r="E176" s="141">
        <f t="shared" si="11"/>
        <v>0.33089666735866147</v>
      </c>
      <c r="F176" s="106">
        <f t="shared" si="5"/>
        <v>0.99629905826859044</v>
      </c>
      <c r="G176" s="106">
        <f t="shared" si="6"/>
        <v>2.0055271990498058</v>
      </c>
      <c r="H176" s="106">
        <f>IF(E176="","",(((D176/VLOOKUP("dez",$C$175:D175,2,FALSE)-1)*100)))</f>
        <v>0.33089666735865997</v>
      </c>
      <c r="I176" s="107">
        <f t="shared" si="7"/>
        <v>4.0474546767023778</v>
      </c>
      <c r="J176" s="137"/>
      <c r="K176" s="40">
        <v>43465</v>
      </c>
      <c r="L176" s="41">
        <f t="shared" si="8"/>
        <v>0.33121313905132355</v>
      </c>
      <c r="M176" s="78">
        <f t="shared" si="12"/>
        <v>0.33121313905132355</v>
      </c>
      <c r="O176" s="138"/>
      <c r="P176" s="5"/>
      <c r="Q176" s="5"/>
      <c r="R176" s="5"/>
    </row>
    <row r="177" spans="2:18" x14ac:dyDescent="0.2">
      <c r="B177" s="36"/>
      <c r="C177" s="23" t="s">
        <v>11</v>
      </c>
      <c r="D177" s="140">
        <f t="shared" si="10"/>
        <v>6013.1838397475858</v>
      </c>
      <c r="E177" s="141">
        <f t="shared" si="11"/>
        <v>0.33118809141013361</v>
      </c>
      <c r="F177" s="106">
        <f t="shared" ref="F177:F240" si="13">IF(E177="","",(((D177/D174)-1)*100))</f>
        <v>0.99627384458900181</v>
      </c>
      <c r="G177" s="106">
        <f t="shared" ref="G177:G240" si="14">IF(E177="","",(((D177/D171)-1)*100))</f>
        <v>2.0044395500306234</v>
      </c>
      <c r="H177" s="106">
        <f>IF(E177="","",(((D177/VLOOKUP("dez",$C$175:D176,2,FALSE)-1)*100)))</f>
        <v>0.66318064912596064</v>
      </c>
      <c r="I177" s="107">
        <f t="shared" ref="I177:I240" si="15">IF(E177="","",(((D177/D165)-1)*100))</f>
        <v>4.0497484933900152</v>
      </c>
      <c r="J177" s="137"/>
      <c r="K177" s="40">
        <v>43496</v>
      </c>
      <c r="L177" s="41">
        <f t="shared" si="8"/>
        <v>0.33089873905741118</v>
      </c>
      <c r="M177" s="78">
        <f t="shared" si="12"/>
        <v>0.33089873905741118</v>
      </c>
      <c r="O177" s="138"/>
      <c r="P177" s="5"/>
      <c r="Q177" s="5"/>
      <c r="R177" s="5"/>
    </row>
    <row r="178" spans="2:18" x14ac:dyDescent="0.2">
      <c r="B178" s="36"/>
      <c r="C178" s="23" t="s">
        <v>12</v>
      </c>
      <c r="D178" s="140">
        <f t="shared" si="10"/>
        <v>6033.1098720378504</v>
      </c>
      <c r="E178" s="141">
        <f t="shared" si="11"/>
        <v>0.33137241137635798</v>
      </c>
      <c r="F178" s="106">
        <f t="shared" si="13"/>
        <v>0.99675065821109854</v>
      </c>
      <c r="G178" s="106">
        <f t="shared" si="14"/>
        <v>2.0037590907731051</v>
      </c>
      <c r="H178" s="106">
        <f>IF(E178="","",(((D178/VLOOKUP("dez",$C$175:D177,2,FALSE)-1)*100)))</f>
        <v>0.99675065821109854</v>
      </c>
      <c r="I178" s="107">
        <f t="shared" si="15"/>
        <v>4.0511713423158735</v>
      </c>
      <c r="J178" s="137"/>
      <c r="K178" s="40">
        <v>43524</v>
      </c>
      <c r="L178" s="41">
        <f t="shared" si="8"/>
        <v>0.33089666735866147</v>
      </c>
      <c r="M178" s="78">
        <f t="shared" si="12"/>
        <v>0.33089666735866147</v>
      </c>
      <c r="O178" s="138"/>
      <c r="P178" s="5"/>
      <c r="Q178" s="5"/>
      <c r="R178" s="5"/>
    </row>
    <row r="179" spans="2:18" x14ac:dyDescent="0.2">
      <c r="B179" s="36"/>
      <c r="C179" s="23" t="s">
        <v>13</v>
      </c>
      <c r="D179" s="140">
        <f t="shared" si="10"/>
        <v>6053.1088314694107</v>
      </c>
      <c r="E179" s="141">
        <f t="shared" si="11"/>
        <v>0.3314867432507827</v>
      </c>
      <c r="F179" s="106">
        <f t="shared" si="13"/>
        <v>0.99734465018890273</v>
      </c>
      <c r="G179" s="106">
        <f t="shared" si="14"/>
        <v>2.0035802438150174</v>
      </c>
      <c r="H179" s="106">
        <f>IF(E179="","",(((D179/VLOOKUP("dez",$C$175:D178,2,FALSE)-1)*100)))</f>
        <v>1.3315414977571161</v>
      </c>
      <c r="I179" s="107">
        <f t="shared" si="15"/>
        <v>4.0520423748632517</v>
      </c>
      <c r="J179" s="137"/>
      <c r="K179" s="40">
        <v>43555</v>
      </c>
      <c r="L179" s="41">
        <f t="shared" si="8"/>
        <v>0.33118809141013361</v>
      </c>
      <c r="M179" s="78">
        <f t="shared" si="12"/>
        <v>0.33118809141013361</v>
      </c>
      <c r="O179" s="138"/>
      <c r="P179" s="5"/>
      <c r="Q179" s="5"/>
      <c r="R179" s="5"/>
    </row>
    <row r="180" spans="2:18" x14ac:dyDescent="0.2">
      <c r="B180" s="36"/>
      <c r="C180" s="23" t="s">
        <v>14</v>
      </c>
      <c r="D180" s="140">
        <f t="shared" si="10"/>
        <v>6073.1783214080433</v>
      </c>
      <c r="E180" s="141">
        <f t="shared" si="11"/>
        <v>0.33155673386035722</v>
      </c>
      <c r="F180" s="106">
        <f t="shared" si="13"/>
        <v>0.99771574026872312</v>
      </c>
      <c r="G180" s="106">
        <f t="shared" si="14"/>
        <v>2.0039295658213607</v>
      </c>
      <c r="H180" s="106">
        <f>IF(E180="","",(((D180/VLOOKUP("dez",$C$175:D179,2,FALSE)-1)*100)))</f>
        <v>1.6675130471174304</v>
      </c>
      <c r="I180" s="107">
        <f t="shared" si="15"/>
        <v>4.0522158686702614</v>
      </c>
      <c r="J180" s="137"/>
      <c r="K180" s="40">
        <v>43585</v>
      </c>
      <c r="L180" s="41">
        <f t="shared" ref="L180:L243" si="16">IF(E178="",M179,E178)</f>
        <v>0.33137241137635798</v>
      </c>
      <c r="M180" s="78">
        <f t="shared" si="12"/>
        <v>0.33137241137635798</v>
      </c>
      <c r="O180" s="138"/>
      <c r="P180" s="5"/>
      <c r="Q180" s="5"/>
      <c r="R180" s="5"/>
    </row>
    <row r="181" spans="2:18" x14ac:dyDescent="0.2">
      <c r="B181" s="36"/>
      <c r="C181" s="23" t="s">
        <v>15</v>
      </c>
      <c r="D181" s="140">
        <f t="shared" si="10"/>
        <v>6093.3151997441028</v>
      </c>
      <c r="E181" s="141">
        <f t="shared" si="11"/>
        <v>0.33157067470053797</v>
      </c>
      <c r="F181" s="106">
        <f t="shared" si="13"/>
        <v>0.99791532034401165</v>
      </c>
      <c r="G181" s="106">
        <f t="shared" si="14"/>
        <v>2.0046127060790342</v>
      </c>
      <c r="H181" s="106">
        <f>IF(E181="","",(((D181/VLOOKUP("dez",$C$175:D180,2,FALSE)-1)*100)))</f>
        <v>2.0046127060790342</v>
      </c>
      <c r="I181" s="107">
        <f t="shared" si="15"/>
        <v>4.0517750733716218</v>
      </c>
      <c r="J181" s="137"/>
      <c r="K181" s="40">
        <v>43616</v>
      </c>
      <c r="L181" s="41">
        <f t="shared" si="16"/>
        <v>0.3314867432507827</v>
      </c>
      <c r="M181" s="78">
        <f t="shared" si="12"/>
        <v>0.3314867432507827</v>
      </c>
      <c r="O181" s="138"/>
      <c r="P181" s="5"/>
      <c r="Q181" s="5"/>
      <c r="R181" s="5"/>
    </row>
    <row r="182" spans="2:18" x14ac:dyDescent="0.2">
      <c r="B182" s="36"/>
      <c r="C182" s="23" t="s">
        <v>16</v>
      </c>
      <c r="D182" s="140">
        <f t="shared" si="10"/>
        <v>6113.5166878347945</v>
      </c>
      <c r="E182" s="141">
        <f t="shared" si="11"/>
        <v>0.33153525508641946</v>
      </c>
      <c r="F182" s="106">
        <f t="shared" si="13"/>
        <v>0.99796415440822628</v>
      </c>
      <c r="G182" s="106">
        <f t="shared" si="14"/>
        <v>2.0052619467019417</v>
      </c>
      <c r="H182" s="106">
        <f>IF(E182="","",(((D182/VLOOKUP("dez",$C$175:D181,2,FALSE)-1)*100)))</f>
        <v>2.3427939590140445</v>
      </c>
      <c r="I182" s="107">
        <f t="shared" si="15"/>
        <v>4.051005219505055</v>
      </c>
      <c r="J182" s="137"/>
      <c r="K182" s="40">
        <v>43646</v>
      </c>
      <c r="L182" s="41">
        <f t="shared" si="16"/>
        <v>0.33155673386035722</v>
      </c>
      <c r="M182" s="78">
        <f t="shared" si="12"/>
        <v>0.33155673386035722</v>
      </c>
      <c r="O182" s="138"/>
      <c r="P182" s="5"/>
      <c r="Q182" s="5"/>
      <c r="R182" s="5"/>
    </row>
    <row r="183" spans="2:18" x14ac:dyDescent="0.2">
      <c r="B183" s="36"/>
      <c r="C183" s="23" t="s">
        <v>17</v>
      </c>
      <c r="D183" s="140">
        <f t="shared" si="10"/>
        <v>6133.7813690867615</v>
      </c>
      <c r="E183" s="141">
        <f t="shared" si="11"/>
        <v>0.33147339390257446</v>
      </c>
      <c r="F183" s="106">
        <f t="shared" si="13"/>
        <v>0.99788026090212867</v>
      </c>
      <c r="G183" s="106">
        <f t="shared" si="14"/>
        <v>2.0055520096029289</v>
      </c>
      <c r="H183" s="106">
        <f>IF(E183="","",(((D183/VLOOKUP("dez",$C$175:D182,2,FALSE)-1)*100)))</f>
        <v>2.6820330915647173</v>
      </c>
      <c r="I183" s="107">
        <f t="shared" si="15"/>
        <v>4.0501916373104629</v>
      </c>
      <c r="J183" s="137"/>
      <c r="K183" s="40">
        <v>43677</v>
      </c>
      <c r="L183" s="41">
        <f t="shared" si="16"/>
        <v>0.33157067470053797</v>
      </c>
      <c r="M183" s="78">
        <f t="shared" si="12"/>
        <v>0.33157067470053797</v>
      </c>
      <c r="O183" s="138"/>
      <c r="P183" s="5"/>
      <c r="Q183" s="5"/>
      <c r="R183" s="5"/>
    </row>
    <row r="184" spans="2:18" x14ac:dyDescent="0.2">
      <c r="B184" s="19"/>
      <c r="C184" s="35" t="s">
        <v>18</v>
      </c>
      <c r="D184" s="140">
        <f t="shared" si="10"/>
        <v>6154.1092123800781</v>
      </c>
      <c r="E184" s="141">
        <f t="shared" si="11"/>
        <v>0.33140801848212664</v>
      </c>
      <c r="F184" s="106">
        <f t="shared" si="13"/>
        <v>0.99771652447142589</v>
      </c>
      <c r="G184" s="106">
        <f t="shared" si="14"/>
        <v>2.0055882108667156</v>
      </c>
      <c r="H184" s="106">
        <f>IF(E184="","",(((D184/VLOOKUP("dez",$C$175:D183,2,FALSE)-1)*100)))</f>
        <v>3.0223295827706442</v>
      </c>
      <c r="I184" s="107">
        <f t="shared" si="15"/>
        <v>4.0495344577385461</v>
      </c>
      <c r="J184" s="137"/>
      <c r="K184" s="40">
        <v>43708</v>
      </c>
      <c r="L184" s="41">
        <f t="shared" si="16"/>
        <v>0.33153525508641946</v>
      </c>
      <c r="M184" s="78">
        <f t="shared" si="12"/>
        <v>0.33153525508641946</v>
      </c>
      <c r="O184" s="138"/>
      <c r="P184" s="5"/>
      <c r="Q184" s="5"/>
      <c r="R184" s="5"/>
    </row>
    <row r="185" spans="2:18" x14ac:dyDescent="0.2">
      <c r="B185" s="36"/>
      <c r="C185" s="23" t="s">
        <v>19</v>
      </c>
      <c r="D185" s="140">
        <f t="shared" si="10"/>
        <v>6174.501173915145</v>
      </c>
      <c r="E185" s="141">
        <f t="shared" si="11"/>
        <v>0.33135521049976097</v>
      </c>
      <c r="F185" s="106">
        <f t="shared" si="13"/>
        <v>0.99753528442481088</v>
      </c>
      <c r="G185" s="106">
        <f t="shared" si="14"/>
        <v>2.0054544833991717</v>
      </c>
      <c r="H185" s="106">
        <f>IF(E185="","",(((D185/VLOOKUP("dez",$C$175:D184,2,FALSE)-1)*100)))</f>
        <v>3.3636994398213771</v>
      </c>
      <c r="I185" s="107">
        <f t="shared" si="15"/>
        <v>4.0492156170422788</v>
      </c>
      <c r="J185" s="137"/>
      <c r="K185" s="40">
        <v>43738</v>
      </c>
      <c r="L185" s="41">
        <f t="shared" si="16"/>
        <v>0.33147339390257446</v>
      </c>
      <c r="M185" s="78">
        <f t="shared" si="12"/>
        <v>0.33147339390257446</v>
      </c>
      <c r="O185" s="138"/>
      <c r="P185" s="5"/>
      <c r="Q185" s="5"/>
      <c r="R185" s="5"/>
    </row>
    <row r="186" spans="2:18" x14ac:dyDescent="0.2">
      <c r="B186" s="19"/>
      <c r="C186" s="35" t="s">
        <v>20</v>
      </c>
      <c r="D186" s="140">
        <f t="shared" si="10"/>
        <v>6194.9591233291203</v>
      </c>
      <c r="E186" s="141">
        <f t="shared" si="11"/>
        <v>0.33132958983637062</v>
      </c>
      <c r="F186" s="106">
        <f t="shared" si="13"/>
        <v>0.99739052569896014</v>
      </c>
      <c r="G186" s="106">
        <f t="shared" si="14"/>
        <v>2.0052235497811433</v>
      </c>
      <c r="H186" s="106">
        <f>IF(E186="","",(((D186/VLOOKUP("dez",$C$175:D185,2,FALSE)-1)*100)))</f>
        <v>3.7061739612150424</v>
      </c>
      <c r="I186" s="107">
        <f t="shared" si="15"/>
        <v>4.0493363831773932</v>
      </c>
      <c r="J186" s="137"/>
      <c r="K186" s="40">
        <v>43769</v>
      </c>
      <c r="L186" s="41">
        <f t="shared" si="16"/>
        <v>0.33140801848212664</v>
      </c>
      <c r="M186" s="78">
        <f t="shared" si="12"/>
        <v>0.33140801848212664</v>
      </c>
      <c r="O186" s="138"/>
      <c r="P186" s="5"/>
      <c r="Q186" s="5"/>
      <c r="R186" s="5"/>
    </row>
    <row r="187" spans="2:18" x14ac:dyDescent="0.2">
      <c r="B187" s="36"/>
      <c r="C187" s="23" t="s">
        <v>21</v>
      </c>
      <c r="D187" s="140">
        <f t="shared" si="10"/>
        <v>6215.4854571561882</v>
      </c>
      <c r="E187" s="141">
        <f t="shared" si="11"/>
        <v>0.3313392940684578</v>
      </c>
      <c r="F187" s="106">
        <f t="shared" si="13"/>
        <v>0.9973213451045293</v>
      </c>
      <c r="G187" s="106">
        <f t="shared" si="14"/>
        <v>2.004988309438116</v>
      </c>
      <c r="H187" s="106">
        <f>IF(E187="","",(((D187/VLOOKUP("dez",$C$175:D186,2,FALSE)-1)*100)))</f>
        <v>4.0497932659235403</v>
      </c>
      <c r="I187" s="107">
        <f t="shared" si="15"/>
        <v>4.0497932659235403</v>
      </c>
      <c r="J187" s="137"/>
      <c r="K187" s="40">
        <v>43799</v>
      </c>
      <c r="L187" s="41">
        <f t="shared" si="16"/>
        <v>0.33135521049976097</v>
      </c>
      <c r="M187" s="78">
        <f t="shared" si="12"/>
        <v>0.33135521049976097</v>
      </c>
      <c r="O187" s="138"/>
      <c r="P187" s="5"/>
      <c r="Q187" s="5"/>
      <c r="R187" s="5"/>
    </row>
    <row r="188" spans="2:18" x14ac:dyDescent="0.2">
      <c r="B188" s="36">
        <v>2024</v>
      </c>
      <c r="C188" s="23" t="s">
        <v>10</v>
      </c>
      <c r="D188" s="140">
        <f t="shared" si="10"/>
        <v>6236.0820846789111</v>
      </c>
      <c r="E188" s="141">
        <f t="shared" si="11"/>
        <v>0.33137600698604508</v>
      </c>
      <c r="F188" s="106">
        <f t="shared" si="13"/>
        <v>0.99734227963097499</v>
      </c>
      <c r="G188" s="106">
        <f t="shared" si="14"/>
        <v>2.0048264052015652</v>
      </c>
      <c r="H188" s="106">
        <f>IF(E188="","",(((D188/VLOOKUP("dez",$C$187:D187,2,FALSE)-1)*100)))</f>
        <v>0.33137600698605052</v>
      </c>
      <c r="I188" s="107">
        <f t="shared" si="15"/>
        <v>4.0502903729044526</v>
      </c>
      <c r="J188" s="137"/>
      <c r="K188" s="40">
        <v>43830</v>
      </c>
      <c r="L188" s="41">
        <f t="shared" si="16"/>
        <v>0.33132958983637062</v>
      </c>
      <c r="M188" s="78">
        <f t="shared" si="12"/>
        <v>0.33132958983637062</v>
      </c>
      <c r="O188" s="138"/>
      <c r="P188" s="5"/>
      <c r="Q188" s="5"/>
      <c r="R188" s="5"/>
    </row>
    <row r="189" spans="2:18" x14ac:dyDescent="0.2">
      <c r="B189" s="36"/>
      <c r="C189" s="23" t="s">
        <v>11</v>
      </c>
      <c r="D189" s="140">
        <f t="shared" ref="D189:D252" si="17">D188*((E189/100)+1)</f>
        <v>6256.7494554845434</v>
      </c>
      <c r="E189" s="141">
        <f t="shared" ref="E189:E252" si="18">AVERAGE(E177:E188)</f>
        <v>0.33141595195499374</v>
      </c>
      <c r="F189" s="106">
        <f t="shared" si="13"/>
        <v>0.9974292150327857</v>
      </c>
      <c r="G189" s="106">
        <f t="shared" si="14"/>
        <v>2.0047680052230232</v>
      </c>
      <c r="H189" s="106">
        <f>IF(E189="","",(((D189/VLOOKUP("dez",$C$187:D188,2,FALSE)-1)*100)))</f>
        <v>0.66389019188912712</v>
      </c>
      <c r="I189" s="107">
        <f t="shared" si="15"/>
        <v>4.0505266798425588</v>
      </c>
      <c r="J189" s="137"/>
      <c r="K189" s="40">
        <v>43861</v>
      </c>
      <c r="L189" s="41">
        <f t="shared" si="16"/>
        <v>0.3313392940684578</v>
      </c>
      <c r="M189" s="78">
        <f t="shared" si="12"/>
        <v>0.3313392940684578</v>
      </c>
      <c r="O189" s="138"/>
      <c r="P189" s="5"/>
      <c r="Q189" s="5"/>
      <c r="R189" s="5"/>
    </row>
    <row r="190" spans="2:18" x14ac:dyDescent="0.2">
      <c r="B190" s="36"/>
      <c r="C190" s="23" t="s">
        <v>12</v>
      </c>
      <c r="D190" s="140">
        <f t="shared" si="17"/>
        <v>6277.4865093091603</v>
      </c>
      <c r="E190" s="141">
        <f t="shared" si="18"/>
        <v>0.33143494033373205</v>
      </c>
      <c r="F190" s="106">
        <f t="shared" si="13"/>
        <v>0.99752549628424614</v>
      </c>
      <c r="G190" s="106">
        <f t="shared" si="14"/>
        <v>2.004795376086066</v>
      </c>
      <c r="H190" s="106">
        <f>IF(E190="","",(((D190/VLOOKUP("dez",$C$187:D189,2,FALSE)-1)*100)))</f>
        <v>0.99752549628424614</v>
      </c>
      <c r="I190" s="107">
        <f t="shared" si="15"/>
        <v>4.0505915266675796</v>
      </c>
      <c r="J190" s="137"/>
      <c r="K190" s="40">
        <v>43890</v>
      </c>
      <c r="L190" s="41">
        <f t="shared" si="16"/>
        <v>0.33137600698604508</v>
      </c>
      <c r="M190" s="78">
        <f t="shared" si="12"/>
        <v>0.33137600698604508</v>
      </c>
      <c r="O190" s="138"/>
      <c r="P190" s="5"/>
      <c r="Q190" s="5"/>
      <c r="R190" s="5"/>
    </row>
    <row r="191" spans="2:18" x14ac:dyDescent="0.2">
      <c r="B191" s="36"/>
      <c r="C191" s="23" t="s">
        <v>13</v>
      </c>
      <c r="D191" s="140">
        <f t="shared" si="17"/>
        <v>6298.2926200796519</v>
      </c>
      <c r="E191" s="141">
        <f t="shared" si="18"/>
        <v>0.33144015108017993</v>
      </c>
      <c r="F191" s="106">
        <f t="shared" si="13"/>
        <v>0.99759006626263247</v>
      </c>
      <c r="G191" s="106">
        <f t="shared" si="14"/>
        <v>2.004881733401831</v>
      </c>
      <c r="H191" s="106">
        <f>IF(E191="","",(((D191/VLOOKUP("dez",$C$187:D190,2,FALSE)-1)*100)))</f>
        <v>1.3322718473763651</v>
      </c>
      <c r="I191" s="107">
        <f t="shared" si="15"/>
        <v>4.050543207410362</v>
      </c>
      <c r="J191" s="137"/>
      <c r="K191" s="40">
        <v>43921</v>
      </c>
      <c r="L191" s="41">
        <f t="shared" si="16"/>
        <v>0.33141595195499374</v>
      </c>
      <c r="M191" s="78">
        <f t="shared" si="12"/>
        <v>0.33141595195499374</v>
      </c>
      <c r="O191" s="138"/>
      <c r="P191" s="5"/>
      <c r="Q191" s="5"/>
      <c r="R191" s="5"/>
    </row>
    <row r="192" spans="2:18" x14ac:dyDescent="0.2">
      <c r="B192" s="36"/>
      <c r="C192" s="23" t="s">
        <v>14</v>
      </c>
      <c r="D192" s="140">
        <f t="shared" si="17"/>
        <v>6319.1674461125112</v>
      </c>
      <c r="E192" s="141">
        <f t="shared" si="18"/>
        <v>0.33143626839929635</v>
      </c>
      <c r="F192" s="106">
        <f t="shared" si="13"/>
        <v>0.99761051760276498</v>
      </c>
      <c r="G192" s="106">
        <f t="shared" si="14"/>
        <v>2.0049901913903545</v>
      </c>
      <c r="H192" s="106">
        <f>IF(E192="","",(((D192/VLOOKUP("dez",$C$187:D191,2,FALSE)-1)*100)))</f>
        <v>1.6681237478715083</v>
      </c>
      <c r="I192" s="107">
        <f t="shared" si="15"/>
        <v>4.0504182766600616</v>
      </c>
      <c r="J192" s="137"/>
      <c r="K192" s="40">
        <v>43951</v>
      </c>
      <c r="L192" s="41">
        <f t="shared" si="16"/>
        <v>0.33143494033373205</v>
      </c>
      <c r="M192" s="78">
        <f t="shared" si="12"/>
        <v>0.33143494033373205</v>
      </c>
      <c r="O192" s="138"/>
      <c r="P192" s="5"/>
      <c r="Q192" s="5"/>
      <c r="R192" s="5"/>
    </row>
    <row r="193" spans="2:18" x14ac:dyDescent="0.2">
      <c r="B193" s="36"/>
      <c r="C193" s="23" t="s">
        <v>15</v>
      </c>
      <c r="D193" s="140">
        <f t="shared" si="17"/>
        <v>6340.1108245219593</v>
      </c>
      <c r="E193" s="141">
        <f t="shared" si="18"/>
        <v>0.33142622961087459</v>
      </c>
      <c r="F193" s="106">
        <f t="shared" si="13"/>
        <v>0.99760174904288679</v>
      </c>
      <c r="G193" s="106">
        <f t="shared" si="14"/>
        <v>2.0050785771251967</v>
      </c>
      <c r="H193" s="106">
        <f>IF(E193="","",(((D193/VLOOKUP("dez",$C$187:D192,2,FALSE)-1)*100)))</f>
        <v>2.0050785771251967</v>
      </c>
      <c r="I193" s="107">
        <f t="shared" si="15"/>
        <v>4.050268477629726</v>
      </c>
      <c r="J193" s="137"/>
      <c r="K193" s="40">
        <v>43982</v>
      </c>
      <c r="L193" s="41">
        <f t="shared" si="16"/>
        <v>0.33144015108017993</v>
      </c>
      <c r="M193" s="78">
        <f t="shared" si="12"/>
        <v>0.33144015108017993</v>
      </c>
      <c r="O193" s="138"/>
      <c r="P193" s="5"/>
      <c r="Q193" s="5"/>
      <c r="R193" s="5"/>
    </row>
    <row r="194" spans="2:18" x14ac:dyDescent="0.2">
      <c r="B194" s="36"/>
      <c r="C194" s="23" t="s">
        <v>16</v>
      </c>
      <c r="D194" s="140">
        <f t="shared" si="17"/>
        <v>6361.1228516159263</v>
      </c>
      <c r="E194" s="141">
        <f t="shared" si="18"/>
        <v>0.33141419252006932</v>
      </c>
      <c r="F194" s="106">
        <f t="shared" si="13"/>
        <v>0.99757561812807705</v>
      </c>
      <c r="G194" s="106">
        <f t="shared" si="14"/>
        <v>2.0051173996606053</v>
      </c>
      <c r="H194" s="106">
        <f>IF(E194="","",(((D194/VLOOKUP("dez",$C$187:D193,2,FALSE)-1)*100)))</f>
        <v>2.3431378846210382</v>
      </c>
      <c r="I194" s="107">
        <f t="shared" si="15"/>
        <v>4.0501429279458767</v>
      </c>
      <c r="J194" s="137"/>
      <c r="K194" s="40">
        <v>44012</v>
      </c>
      <c r="L194" s="41">
        <f t="shared" si="16"/>
        <v>0.33143626839929635</v>
      </c>
      <c r="M194" s="78">
        <f t="shared" si="12"/>
        <v>0.33143626839929635</v>
      </c>
      <c r="O194" s="138"/>
      <c r="P194" s="5"/>
      <c r="Q194" s="5"/>
      <c r="R194" s="5"/>
    </row>
    <row r="195" spans="2:18" x14ac:dyDescent="0.2">
      <c r="B195" s="36"/>
      <c r="C195" s="23" t="s">
        <v>17</v>
      </c>
      <c r="D195" s="140">
        <f t="shared" si="17"/>
        <v>6382.2038738049378</v>
      </c>
      <c r="E195" s="141">
        <f t="shared" si="18"/>
        <v>0.33140410397287351</v>
      </c>
      <c r="F195" s="106">
        <f t="shared" si="13"/>
        <v>0.99754324014955653</v>
      </c>
      <c r="G195" s="106">
        <f t="shared" si="14"/>
        <v>2.0051053540336872</v>
      </c>
      <c r="H195" s="106">
        <f>IF(E195="","",(((D195/VLOOKUP("dez",$C$187:D194,2,FALSE)-1)*100)))</f>
        <v>2.6823072437052842</v>
      </c>
      <c r="I195" s="107">
        <f t="shared" si="15"/>
        <v>4.0500710698653908</v>
      </c>
      <c r="J195" s="137"/>
      <c r="K195" s="40">
        <v>44043</v>
      </c>
      <c r="L195" s="41">
        <f t="shared" si="16"/>
        <v>0.33142622961087459</v>
      </c>
      <c r="M195" s="78">
        <f t="shared" si="12"/>
        <v>0.33142622961087459</v>
      </c>
      <c r="O195" s="138"/>
      <c r="P195" s="5"/>
      <c r="Q195" s="5"/>
      <c r="R195" s="5"/>
    </row>
    <row r="196" spans="2:18" x14ac:dyDescent="0.2">
      <c r="B196" s="19"/>
      <c r="C196" s="35" t="s">
        <v>18</v>
      </c>
      <c r="D196" s="140">
        <f t="shared" si="17"/>
        <v>6403.3543908479278</v>
      </c>
      <c r="E196" s="141">
        <f t="shared" si="18"/>
        <v>0.33139832981206507</v>
      </c>
      <c r="F196" s="106">
        <f t="shared" si="13"/>
        <v>0.99751515511934397</v>
      </c>
      <c r="G196" s="106">
        <f t="shared" si="14"/>
        <v>2.0050681327966613</v>
      </c>
      <c r="H196" s="106">
        <f>IF(E196="","",(((D196/VLOOKUP("dez",$C$187:D195,2,FALSE)-1)*100)))</f>
        <v>3.0225946949234084</v>
      </c>
      <c r="I196" s="107">
        <f t="shared" si="15"/>
        <v>4.0500610220963962</v>
      </c>
      <c r="J196" s="137"/>
      <c r="K196" s="40">
        <v>44074</v>
      </c>
      <c r="L196" s="41">
        <f t="shared" si="16"/>
        <v>0.33141419252006932</v>
      </c>
      <c r="M196" s="78">
        <f t="shared" si="12"/>
        <v>0.33141419252006932</v>
      </c>
      <c r="O196" s="138"/>
      <c r="P196" s="5"/>
      <c r="Q196" s="5"/>
      <c r="R196" s="5"/>
    </row>
    <row r="197" spans="2:18" x14ac:dyDescent="0.2">
      <c r="B197" s="36"/>
      <c r="C197" s="23" t="s">
        <v>19</v>
      </c>
      <c r="D197" s="140">
        <f t="shared" si="17"/>
        <v>6424.574948651155</v>
      </c>
      <c r="E197" s="141">
        <f t="shared" si="18"/>
        <v>0.33139752242289328</v>
      </c>
      <c r="F197" s="106">
        <f t="shared" si="13"/>
        <v>0.99749837434925936</v>
      </c>
      <c r="G197" s="106">
        <f t="shared" si="14"/>
        <v>2.005024793051069</v>
      </c>
      <c r="H197" s="106">
        <f>IF(E197="","",(((D197/VLOOKUP("dez",$C$187:D196,2,FALSE)-1)*100)))</f>
        <v>3.3640090212781582</v>
      </c>
      <c r="I197" s="107">
        <f t="shared" si="15"/>
        <v>4.0501049022789726</v>
      </c>
      <c r="J197" s="137"/>
      <c r="K197" s="40">
        <v>44104</v>
      </c>
      <c r="L197" s="41">
        <f t="shared" si="16"/>
        <v>0.33140410397287351</v>
      </c>
      <c r="M197" s="78">
        <f t="shared" si="12"/>
        <v>0.33140410397287351</v>
      </c>
      <c r="O197" s="138"/>
      <c r="P197" s="5"/>
      <c r="Q197" s="5"/>
      <c r="R197" s="5"/>
    </row>
    <row r="198" spans="2:18" x14ac:dyDescent="0.2">
      <c r="B198" s="19"/>
      <c r="C198" s="35" t="s">
        <v>20</v>
      </c>
      <c r="D198" s="140">
        <f t="shared" si="17"/>
        <v>6445.8660573872885</v>
      </c>
      <c r="E198" s="141">
        <f t="shared" si="18"/>
        <v>0.3314010484164876</v>
      </c>
      <c r="F198" s="106">
        <f t="shared" si="13"/>
        <v>0.99749529850723384</v>
      </c>
      <c r="G198" s="106">
        <f t="shared" si="14"/>
        <v>2.0049889855778602</v>
      </c>
      <c r="H198" s="106">
        <f>IF(E198="","",(((D198/VLOOKUP("dez",$C$187:D197,2,FALSE)-1)*100)))</f>
        <v>3.7065584308600075</v>
      </c>
      <c r="I198" s="107">
        <f t="shared" si="15"/>
        <v>4.0501790094675139</v>
      </c>
      <c r="J198" s="137"/>
      <c r="K198" s="40">
        <v>44135</v>
      </c>
      <c r="L198" s="41">
        <f t="shared" si="16"/>
        <v>0.33139832981206507</v>
      </c>
      <c r="M198" s="78">
        <f t="shared" si="12"/>
        <v>0.33139832981206507</v>
      </c>
      <c r="O198" s="138"/>
      <c r="P198" s="5"/>
      <c r="Q198" s="5"/>
      <c r="R198" s="5"/>
    </row>
    <row r="199" spans="2:18" x14ac:dyDescent="0.2">
      <c r="B199" s="36"/>
      <c r="C199" s="23" t="s">
        <v>21</v>
      </c>
      <c r="D199" s="140">
        <f t="shared" si="17"/>
        <v>6467.2281089246899</v>
      </c>
      <c r="E199" s="141">
        <f t="shared" si="18"/>
        <v>0.33140700329816403</v>
      </c>
      <c r="F199" s="106">
        <f t="shared" si="13"/>
        <v>0.99750402957634599</v>
      </c>
      <c r="G199" s="106">
        <f t="shared" si="14"/>
        <v>2.0049694385636307</v>
      </c>
      <c r="H199" s="106">
        <f>IF(E199="","",(((D199/VLOOKUP("dez",$C$187:D198,2,FALSE)-1)*100)))</f>
        <v>4.0502492283793989</v>
      </c>
      <c r="I199" s="107">
        <f t="shared" si="15"/>
        <v>4.0502492283793989</v>
      </c>
      <c r="J199" s="137"/>
      <c r="K199" s="40">
        <v>44165</v>
      </c>
      <c r="L199" s="41">
        <f t="shared" si="16"/>
        <v>0.33139752242289328</v>
      </c>
      <c r="M199" s="78">
        <f t="shared" si="12"/>
        <v>0.33139752242289328</v>
      </c>
      <c r="O199" s="138"/>
      <c r="P199" s="5"/>
      <c r="Q199" s="5"/>
      <c r="R199" s="5"/>
    </row>
    <row r="200" spans="2:18" x14ac:dyDescent="0.2">
      <c r="B200" s="36">
        <v>2025</v>
      </c>
      <c r="C200" s="23" t="s">
        <v>10</v>
      </c>
      <c r="D200" s="140">
        <f t="shared" si="17"/>
        <v>6488.6613207061282</v>
      </c>
      <c r="E200" s="141">
        <f t="shared" si="18"/>
        <v>0.33141264573397289</v>
      </c>
      <c r="F200" s="106">
        <f t="shared" si="13"/>
        <v>0.99751925329205626</v>
      </c>
      <c r="G200" s="106">
        <f t="shared" si="14"/>
        <v>2.0049678659767256</v>
      </c>
      <c r="H200" s="106">
        <f>IF(E200="","",(((D200/VLOOKUP("dez",$C$199:D199,2,FALSE)-1)*100)))</f>
        <v>0.331412645733975</v>
      </c>
      <c r="I200" s="107">
        <f t="shared" si="15"/>
        <v>4.0502872251756417</v>
      </c>
      <c r="J200" s="137"/>
      <c r="K200" s="40">
        <v>44196</v>
      </c>
      <c r="L200" s="41">
        <f t="shared" si="16"/>
        <v>0.3314010484164876</v>
      </c>
      <c r="M200" s="78">
        <f t="shared" si="12"/>
        <v>0.3314010484164876</v>
      </c>
      <c r="O200" s="138"/>
      <c r="P200" s="5"/>
      <c r="Q200" s="5"/>
      <c r="R200" s="5"/>
    </row>
    <row r="201" spans="2:18" x14ac:dyDescent="0.2">
      <c r="B201" s="36"/>
      <c r="C201" s="23" t="s">
        <v>11</v>
      </c>
      <c r="D201" s="140">
        <f t="shared" si="17"/>
        <v>6510.1657629754873</v>
      </c>
      <c r="E201" s="141">
        <f t="shared" si="18"/>
        <v>0.33141569896296685</v>
      </c>
      <c r="F201" s="106">
        <f t="shared" si="13"/>
        <v>0.99753400110615953</v>
      </c>
      <c r="G201" s="106">
        <f t="shared" si="14"/>
        <v>2.0049796543754272</v>
      </c>
      <c r="H201" s="106">
        <f>IF(E201="","",(((D201/VLOOKUP("dez",$C$199:D200,2,FALSE)-1)*100)))</f>
        <v>0.66392669823327477</v>
      </c>
      <c r="I201" s="107">
        <f t="shared" si="15"/>
        <v>4.0502869628062932</v>
      </c>
      <c r="J201" s="137"/>
      <c r="K201" s="40">
        <v>44227</v>
      </c>
      <c r="L201" s="41">
        <f t="shared" si="16"/>
        <v>0.33140700329816403</v>
      </c>
      <c r="M201" s="78">
        <f t="shared" si="12"/>
        <v>0.33140700329816403</v>
      </c>
      <c r="O201" s="138"/>
      <c r="P201" s="5"/>
      <c r="Q201" s="5"/>
      <c r="R201" s="5"/>
    </row>
    <row r="202" spans="2:18" x14ac:dyDescent="0.2">
      <c r="B202" s="36"/>
      <c r="C202" s="23" t="s">
        <v>12</v>
      </c>
      <c r="D202" s="140">
        <f t="shared" si="17"/>
        <v>6531.741472969984</v>
      </c>
      <c r="E202" s="141">
        <f t="shared" si="18"/>
        <v>0.33141567788029797</v>
      </c>
      <c r="F202" s="106">
        <f t="shared" si="13"/>
        <v>0.99754273328114262</v>
      </c>
      <c r="G202" s="106">
        <f t="shared" si="14"/>
        <v>2.0049972918187331</v>
      </c>
      <c r="H202" s="106">
        <f>IF(E202="","",(((D202/VLOOKUP("dez",$C$199:D201,2,FALSE)-1)*100)))</f>
        <v>0.99754273328114262</v>
      </c>
      <c r="I202" s="107">
        <f t="shared" si="15"/>
        <v>4.0502669863770713</v>
      </c>
      <c r="J202" s="137"/>
      <c r="K202" s="40">
        <v>44255</v>
      </c>
      <c r="L202" s="41">
        <f t="shared" si="16"/>
        <v>0.33141264573397289</v>
      </c>
      <c r="M202" s="78">
        <f t="shared" si="12"/>
        <v>0.33141264573397289</v>
      </c>
      <c r="O202" s="138"/>
      <c r="P202" s="5"/>
      <c r="Q202" s="5"/>
      <c r="R202" s="5"/>
    </row>
    <row r="203" spans="2:18" x14ac:dyDescent="0.2">
      <c r="B203" s="36"/>
      <c r="C203" s="23" t="s">
        <v>13</v>
      </c>
      <c r="D203" s="140">
        <f t="shared" si="17"/>
        <v>6553.3885834022112</v>
      </c>
      <c r="E203" s="141">
        <f t="shared" si="18"/>
        <v>0.33141407267584511</v>
      </c>
      <c r="F203" s="106">
        <f t="shared" si="13"/>
        <v>0.99754416969692894</v>
      </c>
      <c r="G203" s="106">
        <f t="shared" si="14"/>
        <v>2.0050141181417791</v>
      </c>
      <c r="H203" s="106">
        <f>IF(E203="","",(((D203/VLOOKUP("dez",$C$199:D202,2,FALSE)-1)*100)))</f>
        <v>1.3322628029560413</v>
      </c>
      <c r="I203" s="107">
        <f t="shared" si="15"/>
        <v>4.0502399413657741</v>
      </c>
      <c r="J203" s="137"/>
      <c r="K203" s="40">
        <v>44286</v>
      </c>
      <c r="L203" s="41">
        <f t="shared" si="16"/>
        <v>0.33141569896296685</v>
      </c>
      <c r="M203" s="78">
        <f t="shared" si="12"/>
        <v>0.33141569896296685</v>
      </c>
      <c r="O203" s="138"/>
      <c r="P203" s="5"/>
      <c r="Q203" s="5"/>
      <c r="R203" s="5"/>
    </row>
    <row r="204" spans="2:18" x14ac:dyDescent="0.2">
      <c r="B204" s="36"/>
      <c r="C204" s="23" t="s">
        <v>14</v>
      </c>
      <c r="D204" s="140">
        <f t="shared" si="17"/>
        <v>6575.1072929864731</v>
      </c>
      <c r="E204" s="141">
        <f t="shared" si="18"/>
        <v>0.33141189947548383</v>
      </c>
      <c r="F204" s="106">
        <f t="shared" si="13"/>
        <v>0.9975403449835385</v>
      </c>
      <c r="G204" s="106">
        <f t="shared" si="14"/>
        <v>2.0050251502056415</v>
      </c>
      <c r="H204" s="106">
        <f>IF(E204="","",(((D204/VLOOKUP("dez",$C$199:D203,2,FALSE)-1)*100)))</f>
        <v>1.6680899798928062</v>
      </c>
      <c r="I204" s="107">
        <f t="shared" si="15"/>
        <v>4.0502146692031893</v>
      </c>
      <c r="J204" s="137"/>
      <c r="K204" s="40">
        <v>44316</v>
      </c>
      <c r="L204" s="41">
        <f t="shared" si="16"/>
        <v>0.33141567788029797</v>
      </c>
      <c r="M204" s="78">
        <f t="shared" si="12"/>
        <v>0.33141567788029797</v>
      </c>
      <c r="O204" s="138"/>
      <c r="P204" s="5"/>
      <c r="Q204" s="5"/>
      <c r="R204" s="5"/>
    </row>
    <row r="205" spans="2:18" x14ac:dyDescent="0.2">
      <c r="B205" s="36"/>
      <c r="C205" s="23" t="s">
        <v>15</v>
      </c>
      <c r="D205" s="140">
        <f t="shared" si="17"/>
        <v>6596.897847435137</v>
      </c>
      <c r="E205" s="141">
        <f t="shared" si="18"/>
        <v>0.33140986873183281</v>
      </c>
      <c r="F205" s="106">
        <f t="shared" si="13"/>
        <v>0.99753449726671661</v>
      </c>
      <c r="G205" s="106">
        <f t="shared" si="14"/>
        <v>2.0050280634373197</v>
      </c>
      <c r="H205" s="106">
        <f>IF(E205="","",(((D205/VLOOKUP("dez",$C$199:D204,2,FALSE)-1)*100)))</f>
        <v>2.0050280634373197</v>
      </c>
      <c r="I205" s="107">
        <f t="shared" si="15"/>
        <v>4.0501977019075097</v>
      </c>
      <c r="J205" s="137"/>
      <c r="K205" s="40">
        <v>44347</v>
      </c>
      <c r="L205" s="41">
        <f t="shared" si="16"/>
        <v>0.33141407267584511</v>
      </c>
      <c r="M205" s="78">
        <f t="shared" si="12"/>
        <v>0.33141407267584511</v>
      </c>
      <c r="O205" s="138"/>
      <c r="P205" s="5"/>
      <c r="Q205" s="5"/>
      <c r="R205" s="5"/>
    </row>
    <row r="206" spans="2:18" x14ac:dyDescent="0.2">
      <c r="B206" s="36"/>
      <c r="C206" s="23" t="s">
        <v>16</v>
      </c>
      <c r="D206" s="140">
        <f t="shared" si="17"/>
        <v>6618.760527989155</v>
      </c>
      <c r="E206" s="141">
        <f t="shared" si="18"/>
        <v>0.33140850532524602</v>
      </c>
      <c r="F206" s="106">
        <f t="shared" si="13"/>
        <v>0.99752889295334768</v>
      </c>
      <c r="G206" s="106">
        <f t="shared" si="14"/>
        <v>2.0050238539629728</v>
      </c>
      <c r="H206" s="106">
        <f>IF(E206="","",(((D206/VLOOKUP("dez",$C$199:D205,2,FALSE)-1)*100)))</f>
        <v>2.3430814022989521</v>
      </c>
      <c r="I206" s="107">
        <f t="shared" si="15"/>
        <v>4.0501918039168361</v>
      </c>
      <c r="J206" s="137"/>
      <c r="K206" s="40">
        <v>44377</v>
      </c>
      <c r="L206" s="41">
        <f t="shared" si="16"/>
        <v>0.33141189947548383</v>
      </c>
      <c r="M206" s="78">
        <f t="shared" si="12"/>
        <v>0.33141189947548383</v>
      </c>
      <c r="O206" s="138"/>
      <c r="P206" s="5"/>
      <c r="Q206" s="5"/>
      <c r="R206" s="5"/>
    </row>
    <row r="207" spans="2:18" x14ac:dyDescent="0.2">
      <c r="B207" s="36"/>
      <c r="C207" s="23" t="s">
        <v>17</v>
      </c>
      <c r="D207" s="140">
        <f t="shared" si="17"/>
        <v>6640.6956319575384</v>
      </c>
      <c r="E207" s="141">
        <f t="shared" si="18"/>
        <v>0.33140803139234404</v>
      </c>
      <c r="F207" s="106">
        <f t="shared" si="13"/>
        <v>0.99752499918939197</v>
      </c>
      <c r="G207" s="106">
        <f t="shared" si="14"/>
        <v>2.0050160584911492</v>
      </c>
      <c r="H207" s="106">
        <f>IF(E207="","",(((D207/VLOOKUP("dez",$C$199:D206,2,FALSE)-1)*100)))</f>
        <v>2.6822545936405984</v>
      </c>
      <c r="I207" s="107">
        <f t="shared" si="15"/>
        <v>4.0501958769062929</v>
      </c>
      <c r="J207" s="137"/>
      <c r="K207" s="40">
        <v>44408</v>
      </c>
      <c r="L207" s="41">
        <f t="shared" si="16"/>
        <v>0.33140986873183281</v>
      </c>
      <c r="M207" s="78">
        <f t="shared" si="12"/>
        <v>0.33140986873183281</v>
      </c>
      <c r="O207" s="138"/>
      <c r="P207" s="5"/>
      <c r="Q207" s="5"/>
      <c r="R207" s="5"/>
    </row>
    <row r="208" spans="2:18" x14ac:dyDescent="0.2">
      <c r="B208" s="19"/>
      <c r="C208" s="35" t="s">
        <v>18</v>
      </c>
      <c r="D208" s="140">
        <f t="shared" si="17"/>
        <v>6662.7034523561642</v>
      </c>
      <c r="E208" s="141">
        <f t="shared" si="18"/>
        <v>0.33140835867729995</v>
      </c>
      <c r="F208" s="106">
        <f t="shared" si="13"/>
        <v>0.99752347910939676</v>
      </c>
      <c r="G208" s="106">
        <f t="shared" si="14"/>
        <v>2.005008617198567</v>
      </c>
      <c r="H208" s="106">
        <f>IF(E208="","",(((D208/VLOOKUP("dez",$C$199:D207,2,FALSE)-1)*100)))</f>
        <v>3.0225521682422318</v>
      </c>
      <c r="I208" s="107">
        <f t="shared" si="15"/>
        <v>4.0502062774928405</v>
      </c>
      <c r="J208" s="137"/>
      <c r="K208" s="40">
        <v>44439</v>
      </c>
      <c r="L208" s="41">
        <f t="shared" si="16"/>
        <v>0.33140850532524602</v>
      </c>
      <c r="M208" s="78">
        <f t="shared" si="12"/>
        <v>0.33140850532524602</v>
      </c>
      <c r="O208" s="138"/>
      <c r="P208" s="5"/>
      <c r="Q208" s="5"/>
      <c r="R208" s="5"/>
    </row>
    <row r="209" spans="2:18" x14ac:dyDescent="0.2">
      <c r="B209" s="36"/>
      <c r="C209" s="23" t="s">
        <v>19</v>
      </c>
      <c r="D209" s="140">
        <f t="shared" si="17"/>
        <v>6684.7842641939496</v>
      </c>
      <c r="E209" s="141">
        <f t="shared" si="18"/>
        <v>0.33140919441606959</v>
      </c>
      <c r="F209" s="106">
        <f t="shared" si="13"/>
        <v>0.99752417277518823</v>
      </c>
      <c r="G209" s="106">
        <f t="shared" si="14"/>
        <v>2.0050036575661734</v>
      </c>
      <c r="H209" s="106">
        <f>IF(E209="","",(((D209/VLOOKUP("dez",$C$199:D208,2,FALSE)-1)*100)))</f>
        <v>3.3639783784498833</v>
      </c>
      <c r="I209" s="107">
        <f t="shared" si="15"/>
        <v>4.0502183821114146</v>
      </c>
      <c r="J209" s="137"/>
      <c r="K209" s="40">
        <v>44469</v>
      </c>
      <c r="L209" s="41">
        <f t="shared" si="16"/>
        <v>0.33140803139234404</v>
      </c>
      <c r="M209" s="78">
        <f t="shared" si="12"/>
        <v>0.33140803139234404</v>
      </c>
      <c r="O209" s="138"/>
      <c r="P209" s="5"/>
      <c r="Q209" s="5"/>
      <c r="R209" s="5"/>
    </row>
    <row r="210" spans="2:18" x14ac:dyDescent="0.2">
      <c r="B210" s="19"/>
      <c r="C210" s="35" t="s">
        <v>20</v>
      </c>
      <c r="D210" s="140">
        <f t="shared" si="17"/>
        <v>6706.9383188929969</v>
      </c>
      <c r="E210" s="141">
        <f t="shared" si="18"/>
        <v>0.33141016708216758</v>
      </c>
      <c r="F210" s="106">
        <f t="shared" si="13"/>
        <v>0.99752632264418217</v>
      </c>
      <c r="G210" s="106">
        <f t="shared" si="14"/>
        <v>2.0050018962754379</v>
      </c>
      <c r="H210" s="106">
        <f>IF(E210="","",(((D210/VLOOKUP("dez",$C$199:D209,2,FALSE)-1)*100)))</f>
        <v>3.7065371118966794</v>
      </c>
      <c r="I210" s="107">
        <f t="shared" si="15"/>
        <v>4.0502278387635204</v>
      </c>
      <c r="J210" s="137"/>
      <c r="K210" s="40">
        <v>44500</v>
      </c>
      <c r="L210" s="41">
        <f t="shared" si="16"/>
        <v>0.33140835867729995</v>
      </c>
      <c r="M210" s="78">
        <f t="shared" si="12"/>
        <v>0.33140835867729995</v>
      </c>
      <c r="O210" s="138"/>
      <c r="P210" s="5"/>
      <c r="Q210" s="5"/>
      <c r="R210" s="5"/>
    </row>
    <row r="211" spans="2:18" x14ac:dyDescent="0.2">
      <c r="B211" s="36"/>
      <c r="C211" s="23" t="s">
        <v>21</v>
      </c>
      <c r="D211" s="140">
        <f t="shared" si="17"/>
        <v>6729.1658453470118</v>
      </c>
      <c r="E211" s="141">
        <f t="shared" si="18"/>
        <v>0.33141092697097424</v>
      </c>
      <c r="F211" s="106">
        <f t="shared" si="13"/>
        <v>0.99752890798920912</v>
      </c>
      <c r="G211" s="106">
        <f t="shared" si="14"/>
        <v>2.0050029721666807</v>
      </c>
      <c r="H211" s="106">
        <f>IF(E211="","",(((D211/VLOOKUP("dez",$C$199:D210,2,FALSE)-1)*100)))</f>
        <v>4.0502319078687066</v>
      </c>
      <c r="I211" s="107">
        <f t="shared" si="15"/>
        <v>4.0502319078687066</v>
      </c>
      <c r="J211" s="137"/>
      <c r="K211" s="40">
        <v>44530</v>
      </c>
      <c r="L211" s="41">
        <f t="shared" si="16"/>
        <v>0.33140919441606959</v>
      </c>
      <c r="M211" s="78">
        <f t="shared" si="12"/>
        <v>0.33140919441606959</v>
      </c>
      <c r="O211" s="138"/>
      <c r="P211" s="5"/>
      <c r="Q211" s="5"/>
      <c r="R211" s="5"/>
    </row>
    <row r="212" spans="2:18" x14ac:dyDescent="0.2">
      <c r="B212" s="36">
        <v>2026</v>
      </c>
      <c r="C212" s="23" t="s">
        <v>10</v>
      </c>
      <c r="D212" s="140">
        <f t="shared" si="17"/>
        <v>6751.4670582550289</v>
      </c>
      <c r="E212" s="141">
        <f t="shared" si="18"/>
        <v>0.33141125394370841</v>
      </c>
      <c r="F212" s="106">
        <f t="shared" si="13"/>
        <v>0.99753098119046424</v>
      </c>
      <c r="G212" s="106">
        <f t="shared" si="14"/>
        <v>2.0050057666339383</v>
      </c>
      <c r="H212" s="106">
        <f>IF(E212="","",(((D212/VLOOKUP("dez",$C$211:D211,2,FALSE)-1)*100)))</f>
        <v>0.33141125394371418</v>
      </c>
      <c r="I212" s="107">
        <f t="shared" si="15"/>
        <v>4.0502304644912668</v>
      </c>
      <c r="J212" s="137"/>
      <c r="K212" s="40">
        <v>44561</v>
      </c>
      <c r="L212" s="41">
        <f t="shared" si="16"/>
        <v>0.33141016708216758</v>
      </c>
      <c r="M212" s="78">
        <f t="shared" si="12"/>
        <v>0.33141016708216758</v>
      </c>
      <c r="O212" s="138"/>
      <c r="P212" s="5"/>
      <c r="Q212" s="5"/>
      <c r="R212" s="5"/>
    </row>
    <row r="213" spans="2:18" x14ac:dyDescent="0.2">
      <c r="B213" s="36"/>
      <c r="C213" s="23" t="s">
        <v>11</v>
      </c>
      <c r="D213" s="140">
        <f t="shared" si="17"/>
        <v>6773.8421720618662</v>
      </c>
      <c r="E213" s="141">
        <f t="shared" si="18"/>
        <v>0.33141113796118638</v>
      </c>
      <c r="F213" s="106">
        <f t="shared" si="13"/>
        <v>0.99753195851535192</v>
      </c>
      <c r="G213" s="106">
        <f t="shared" si="14"/>
        <v>2.005008925022489</v>
      </c>
      <c r="H213" s="106">
        <f>IF(E213="","",(((D213/VLOOKUP("dez",$C$211:D212,2,FALSE)-1)*100)))</f>
        <v>0.66392072571292982</v>
      </c>
      <c r="I213" s="107">
        <f t="shared" si="15"/>
        <v>4.0502257344345205</v>
      </c>
      <c r="J213" s="137"/>
      <c r="K213" s="40">
        <v>44592</v>
      </c>
      <c r="L213" s="41">
        <f t="shared" si="16"/>
        <v>0.33141092697097424</v>
      </c>
      <c r="M213" s="78">
        <f t="shared" si="12"/>
        <v>0.33141092697097424</v>
      </c>
      <c r="O213" s="138"/>
      <c r="P213" s="5"/>
      <c r="Q213" s="5"/>
      <c r="R213" s="5"/>
    </row>
    <row r="214" spans="2:18" x14ac:dyDescent="0.2">
      <c r="B214" s="36"/>
      <c r="C214" s="23" t="s">
        <v>12</v>
      </c>
      <c r="D214" s="140">
        <f t="shared" si="17"/>
        <v>6796.2914137417356</v>
      </c>
      <c r="E214" s="141">
        <f t="shared" si="18"/>
        <v>0.33141075787770463</v>
      </c>
      <c r="F214" s="106">
        <f t="shared" si="13"/>
        <v>0.99753178829942168</v>
      </c>
      <c r="G214" s="106">
        <f t="shared" si="14"/>
        <v>2.0050113642432921</v>
      </c>
      <c r="H214" s="106">
        <f>IF(E214="","",(((D214/VLOOKUP("dez",$C$211:D213,2,FALSE)-1)*100)))</f>
        <v>0.99753178829942168</v>
      </c>
      <c r="I214" s="107">
        <f t="shared" si="15"/>
        <v>4.0502206320707446</v>
      </c>
      <c r="J214" s="137"/>
      <c r="K214" s="40">
        <v>44620</v>
      </c>
      <c r="L214" s="41">
        <f t="shared" si="16"/>
        <v>0.33141125394370841</v>
      </c>
      <c r="M214" s="78">
        <f t="shared" si="12"/>
        <v>0.33141125394370841</v>
      </c>
      <c r="O214" s="138"/>
      <c r="P214" s="5"/>
      <c r="Q214" s="5"/>
      <c r="R214" s="5"/>
    </row>
    <row r="215" spans="2:18" x14ac:dyDescent="0.2">
      <c r="B215" s="36"/>
      <c r="C215" s="23" t="s">
        <v>13</v>
      </c>
      <c r="D215" s="140">
        <f t="shared" si="17"/>
        <v>6818.8150267587853</v>
      </c>
      <c r="E215" s="141">
        <f t="shared" si="18"/>
        <v>0.33141034787748858</v>
      </c>
      <c r="F215" s="106">
        <f t="shared" si="13"/>
        <v>0.99753087621763381</v>
      </c>
      <c r="G215" s="106">
        <f t="shared" si="14"/>
        <v>2.0050125369452942</v>
      </c>
      <c r="H215" s="106">
        <f>IF(E215="","",(((D215/VLOOKUP("dez",$C$211:D214,2,FALSE)-1)*100)))</f>
        <v>1.332248059746699</v>
      </c>
      <c r="I215" s="107">
        <f t="shared" si="15"/>
        <v>4.0502167692118896</v>
      </c>
      <c r="J215" s="137"/>
      <c r="K215" s="40">
        <v>44651</v>
      </c>
      <c r="L215" s="41">
        <f t="shared" si="16"/>
        <v>0.33141113796118638</v>
      </c>
      <c r="M215" s="78">
        <f t="shared" ref="M215:M254" si="19">IF(L214="",M214,AVERAGE(L203:L214))</f>
        <v>0.33141113796118638</v>
      </c>
      <c r="O215" s="138"/>
      <c r="P215" s="5"/>
      <c r="Q215" s="5"/>
      <c r="R215" s="5"/>
    </row>
    <row r="216" spans="2:18" x14ac:dyDescent="0.2">
      <c r="B216" s="36"/>
      <c r="C216" s="23" t="s">
        <v>14</v>
      </c>
      <c r="D216" s="140">
        <f t="shared" si="17"/>
        <v>6841.4132641944971</v>
      </c>
      <c r="E216" s="141">
        <f t="shared" si="18"/>
        <v>0.33141003747762549</v>
      </c>
      <c r="F216" s="106">
        <f t="shared" si="13"/>
        <v>0.99752976842775176</v>
      </c>
      <c r="G216" s="106">
        <f t="shared" si="14"/>
        <v>2.0050124051788742</v>
      </c>
      <c r="H216" s="106">
        <f>IF(E216="","",(((D216/VLOOKUP("dez",$C$211:D215,2,FALSE)-1)*100)))</f>
        <v>1.6680733010184357</v>
      </c>
      <c r="I216" s="107">
        <f t="shared" si="15"/>
        <v>4.050214838198718</v>
      </c>
      <c r="J216" s="137"/>
      <c r="K216" s="40">
        <v>44681</v>
      </c>
      <c r="L216" s="41">
        <f t="shared" si="16"/>
        <v>0.33141075787770463</v>
      </c>
      <c r="M216" s="78">
        <f t="shared" si="19"/>
        <v>0.33141075787770463</v>
      </c>
      <c r="O216" s="138"/>
      <c r="P216" s="5"/>
      <c r="Q216" s="5"/>
      <c r="R216" s="5"/>
    </row>
    <row r="217" spans="2:18" x14ac:dyDescent="0.2">
      <c r="B217" s="36"/>
      <c r="C217" s="23" t="s">
        <v>15</v>
      </c>
      <c r="D217" s="140">
        <f t="shared" si="17"/>
        <v>6864.0863838417818</v>
      </c>
      <c r="E217" s="141">
        <f t="shared" si="18"/>
        <v>0.33140988231113733</v>
      </c>
      <c r="F217" s="106">
        <f t="shared" si="13"/>
        <v>0.99752888704813802</v>
      </c>
      <c r="G217" s="106">
        <f t="shared" si="14"/>
        <v>2.0050113430933436</v>
      </c>
      <c r="H217" s="106">
        <f>IF(E217="","",(((D217/VLOOKUP("dez",$C$211:D216,2,FALSE)-1)*100)))</f>
        <v>2.0050113430933436</v>
      </c>
      <c r="I217" s="107">
        <f t="shared" si="15"/>
        <v>4.0502148522813197</v>
      </c>
      <c r="J217" s="137"/>
      <c r="K217" s="40">
        <v>44712</v>
      </c>
      <c r="L217" s="41">
        <f t="shared" si="16"/>
        <v>0.33141034787748858</v>
      </c>
      <c r="M217" s="78">
        <f t="shared" si="19"/>
        <v>0.33141034787748858</v>
      </c>
      <c r="O217" s="138"/>
      <c r="P217" s="5"/>
      <c r="Q217" s="5"/>
      <c r="R217" s="5"/>
    </row>
    <row r="218" spans="2:18" x14ac:dyDescent="0.2">
      <c r="B218" s="36"/>
      <c r="C218" s="23" t="s">
        <v>16</v>
      </c>
      <c r="D218" s="140">
        <f t="shared" si="17"/>
        <v>6886.8346445258821</v>
      </c>
      <c r="E218" s="141">
        <f t="shared" si="18"/>
        <v>0.33140988344274602</v>
      </c>
      <c r="F218" s="106">
        <f t="shared" si="13"/>
        <v>0.99752841952993609</v>
      </c>
      <c r="G218" s="106">
        <f t="shared" si="14"/>
        <v>2.0050099497314289</v>
      </c>
      <c r="H218" s="106">
        <f>IF(E218="","",(((D218/VLOOKUP("dez",$C$211:D217,2,FALSE)-1)*100)))</f>
        <v>2.3430660322912633</v>
      </c>
      <c r="I218" s="107">
        <f t="shared" si="15"/>
        <v>4.0502162814790799</v>
      </c>
      <c r="J218" s="137"/>
      <c r="K218" s="40">
        <v>44742</v>
      </c>
      <c r="L218" s="41">
        <f t="shared" si="16"/>
        <v>0.33141003747762549</v>
      </c>
      <c r="M218" s="78">
        <f t="shared" si="19"/>
        <v>0.33141003747762549</v>
      </c>
      <c r="O218" s="138"/>
      <c r="P218" s="5"/>
      <c r="Q218" s="5"/>
      <c r="R218" s="5"/>
    </row>
    <row r="219" spans="2:18" x14ac:dyDescent="0.2">
      <c r="B219" s="36"/>
      <c r="C219" s="23" t="s">
        <v>17</v>
      </c>
      <c r="D219" s="140">
        <f t="shared" si="17"/>
        <v>6909.658303103256</v>
      </c>
      <c r="E219" s="141">
        <f t="shared" si="18"/>
        <v>0.33140999828587098</v>
      </c>
      <c r="F219" s="106">
        <f t="shared" si="13"/>
        <v>0.99752838007798328</v>
      </c>
      <c r="G219" s="106">
        <f t="shared" si="14"/>
        <v>2.0050087910455261</v>
      </c>
      <c r="H219" s="106">
        <f>IF(E219="","",(((D219/VLOOKUP("dez",$C$211:D218,2,FALSE)-1)*100)))</f>
        <v>2.682241185674572</v>
      </c>
      <c r="I219" s="107">
        <f t="shared" si="15"/>
        <v>4.0502183212759668</v>
      </c>
      <c r="J219" s="137"/>
      <c r="K219" s="40">
        <v>44773</v>
      </c>
      <c r="L219" s="41">
        <f t="shared" si="16"/>
        <v>0.33140988231113733</v>
      </c>
      <c r="M219" s="78">
        <f t="shared" si="19"/>
        <v>0.33140988231113733</v>
      </c>
      <c r="O219" s="138"/>
      <c r="P219" s="5"/>
      <c r="Q219" s="5"/>
      <c r="R219" s="5"/>
    </row>
    <row r="220" spans="2:18" x14ac:dyDescent="0.2">
      <c r="B220" s="19"/>
      <c r="C220" s="35" t="s">
        <v>18</v>
      </c>
      <c r="D220" s="140">
        <f t="shared" si="17"/>
        <v>6932.5576128925986</v>
      </c>
      <c r="E220" s="141">
        <f t="shared" si="18"/>
        <v>0.33141016219366493</v>
      </c>
      <c r="F220" s="106">
        <f t="shared" si="13"/>
        <v>0.99752866181870292</v>
      </c>
      <c r="G220" s="106">
        <f t="shared" si="14"/>
        <v>2.0050081854250612</v>
      </c>
      <c r="H220" s="106">
        <f>IF(E220="","",(((D220/VLOOKUP("dez",$C$211:D219,2,FALSE)-1)*100)))</f>
        <v>3.0225405677321016</v>
      </c>
      <c r="I220" s="107">
        <f t="shared" si="15"/>
        <v>4.0502201916401415</v>
      </c>
      <c r="J220" s="137"/>
      <c r="K220" s="40">
        <v>44804</v>
      </c>
      <c r="L220" s="41">
        <f t="shared" si="16"/>
        <v>0.33140988344274602</v>
      </c>
      <c r="M220" s="78">
        <f t="shared" si="19"/>
        <v>0.33140988344274602</v>
      </c>
      <c r="O220" s="138"/>
      <c r="P220" s="5"/>
      <c r="Q220" s="5"/>
      <c r="R220" s="5"/>
    </row>
    <row r="221" spans="2:18" x14ac:dyDescent="0.2">
      <c r="B221" s="36"/>
      <c r="C221" s="23" t="s">
        <v>19</v>
      </c>
      <c r="D221" s="140">
        <f t="shared" si="17"/>
        <v>6955.5328237408057</v>
      </c>
      <c r="E221" s="141">
        <f t="shared" si="18"/>
        <v>0.33141031248669534</v>
      </c>
      <c r="F221" s="106">
        <f t="shared" si="13"/>
        <v>0.99752909371113585</v>
      </c>
      <c r="G221" s="106">
        <f t="shared" si="14"/>
        <v>2.005008149443932</v>
      </c>
      <c r="H221" s="106">
        <f>IF(E221="","",(((D221/VLOOKUP("dez",$C$211:D220,2,FALSE)-1)*100)))</f>
        <v>3.363967891359354</v>
      </c>
      <c r="I221" s="107">
        <f t="shared" si="15"/>
        <v>4.050221351152361</v>
      </c>
      <c r="J221" s="137"/>
      <c r="K221" s="40">
        <v>44834</v>
      </c>
      <c r="L221" s="41">
        <f t="shared" si="16"/>
        <v>0.33140999828587098</v>
      </c>
      <c r="M221" s="78">
        <f t="shared" si="19"/>
        <v>0.33140999828587098</v>
      </c>
      <c r="O221" s="138"/>
      <c r="P221" s="5"/>
      <c r="Q221" s="5"/>
      <c r="R221" s="5"/>
    </row>
    <row r="222" spans="2:18" x14ac:dyDescent="0.2">
      <c r="B222" s="19"/>
      <c r="C222" s="35" t="s">
        <v>20</v>
      </c>
      <c r="D222" s="140">
        <f t="shared" si="17"/>
        <v>6978.5841832877277</v>
      </c>
      <c r="E222" s="141">
        <f t="shared" si="18"/>
        <v>0.33141040565924751</v>
      </c>
      <c r="F222" s="106">
        <f t="shared" si="13"/>
        <v>0.99752950378915184</v>
      </c>
      <c r="G222" s="106">
        <f t="shared" si="14"/>
        <v>2.0050085237670601</v>
      </c>
      <c r="H222" s="106">
        <f>IF(E222="","",(((D222/VLOOKUP("dez",$C$211:D221,2,FALSE)-1)*100)))</f>
        <v>3.706526836653623</v>
      </c>
      <c r="I222" s="107">
        <f t="shared" si="15"/>
        <v>4.0502215985723788</v>
      </c>
      <c r="J222" s="137"/>
      <c r="K222" s="40">
        <v>44865</v>
      </c>
      <c r="L222" s="41">
        <f t="shared" si="16"/>
        <v>0.33141016219366493</v>
      </c>
      <c r="M222" s="78">
        <f t="shared" si="19"/>
        <v>0.33141016219366493</v>
      </c>
      <c r="O222" s="138"/>
      <c r="P222" s="5"/>
      <c r="Q222" s="5"/>
      <c r="R222" s="5"/>
    </row>
    <row r="223" spans="2:18" x14ac:dyDescent="0.2">
      <c r="B223" s="36"/>
      <c r="C223" s="23" t="s">
        <v>21</v>
      </c>
      <c r="D223" s="140">
        <f t="shared" si="17"/>
        <v>7001.7119388262763</v>
      </c>
      <c r="E223" s="141">
        <f t="shared" si="18"/>
        <v>0.33141042554067074</v>
      </c>
      <c r="F223" s="106">
        <f t="shared" si="13"/>
        <v>0.99752976888458633</v>
      </c>
      <c r="G223" s="106">
        <f t="shared" si="14"/>
        <v>2.005009076058073</v>
      </c>
      <c r="H223" s="106">
        <f>IF(E223="","",(((D223/VLOOKUP("dez",$C$211:D222,2,FALSE)-1)*100)))</f>
        <v>4.0502210785564374</v>
      </c>
      <c r="I223" s="107">
        <f t="shared" si="15"/>
        <v>4.0502210785564374</v>
      </c>
      <c r="J223" s="137"/>
      <c r="K223" s="40">
        <v>44895</v>
      </c>
      <c r="L223" s="41">
        <f t="shared" si="16"/>
        <v>0.33141031248669534</v>
      </c>
      <c r="M223" s="78">
        <f t="shared" si="19"/>
        <v>0.33141031248669534</v>
      </c>
      <c r="O223" s="138"/>
      <c r="P223" s="5"/>
      <c r="Q223" s="5"/>
      <c r="R223" s="5"/>
    </row>
    <row r="224" spans="2:18" x14ac:dyDescent="0.2">
      <c r="B224" s="36">
        <v>2027</v>
      </c>
      <c r="C224" s="23" t="s">
        <v>10</v>
      </c>
      <c r="D224" s="140">
        <f t="shared" si="17"/>
        <v>7024.916339232147</v>
      </c>
      <c r="E224" s="141">
        <f t="shared" si="18"/>
        <v>0.33141038375481219</v>
      </c>
      <c r="F224" s="106">
        <f t="shared" si="13"/>
        <v>0.99752984062586592</v>
      </c>
      <c r="G224" s="106">
        <f t="shared" si="14"/>
        <v>2.0050095847157001</v>
      </c>
      <c r="H224" s="106">
        <f>IF(E224="","",(((D224/VLOOKUP("dez",$C$223:D223,2,FALSE)-1)*100)))</f>
        <v>0.33141038375481546</v>
      </c>
      <c r="I224" s="107">
        <f t="shared" si="15"/>
        <v>4.0502201761137391</v>
      </c>
      <c r="J224" s="137"/>
      <c r="K224" s="40">
        <v>44926</v>
      </c>
      <c r="L224" s="41">
        <f t="shared" si="16"/>
        <v>0.33141040565924751</v>
      </c>
      <c r="M224" s="78">
        <f t="shared" si="19"/>
        <v>0.33141040565924751</v>
      </c>
      <c r="O224" s="138"/>
      <c r="P224" s="5"/>
      <c r="Q224" s="5"/>
      <c r="R224" s="5"/>
    </row>
    <row r="225" spans="2:18" x14ac:dyDescent="0.2">
      <c r="B225" s="36"/>
      <c r="C225" s="23" t="s">
        <v>11</v>
      </c>
      <c r="D225" s="140">
        <f t="shared" si="17"/>
        <v>7048.1976363362801</v>
      </c>
      <c r="E225" s="141">
        <f t="shared" si="18"/>
        <v>0.33141031123907089</v>
      </c>
      <c r="F225" s="106">
        <f t="shared" si="13"/>
        <v>0.9975297455788068</v>
      </c>
      <c r="G225" s="106">
        <f t="shared" si="14"/>
        <v>2.0050099028891655</v>
      </c>
      <c r="H225" s="106">
        <f>IF(E225="","",(((D225/VLOOKUP("dez",$C$223:D224,2,FALSE)-1)*100)))</f>
        <v>0.66391902317814999</v>
      </c>
      <c r="I225" s="107">
        <f t="shared" si="15"/>
        <v>4.0502193187489599</v>
      </c>
      <c r="J225" s="137"/>
      <c r="K225" s="40">
        <v>44957</v>
      </c>
      <c r="L225" s="41">
        <f t="shared" si="16"/>
        <v>0.33141042554067074</v>
      </c>
      <c r="M225" s="78">
        <f t="shared" si="19"/>
        <v>0.33141042554067074</v>
      </c>
      <c r="O225" s="138"/>
      <c r="P225" s="5"/>
      <c r="Q225" s="5"/>
      <c r="R225" s="5"/>
    </row>
    <row r="226" spans="2:18" x14ac:dyDescent="0.2">
      <c r="B226" s="36"/>
      <c r="C226" s="23" t="s">
        <v>12</v>
      </c>
      <c r="D226" s="140">
        <f t="shared" si="17"/>
        <v>7071.5560852038561</v>
      </c>
      <c r="E226" s="141">
        <f t="shared" si="18"/>
        <v>0.33141024234556121</v>
      </c>
      <c r="F226" s="106">
        <f t="shared" si="13"/>
        <v>0.99752956116740954</v>
      </c>
      <c r="G226" s="106">
        <f t="shared" si="14"/>
        <v>2.0050099843780478</v>
      </c>
      <c r="H226" s="106">
        <f>IF(E226="","",(((D226/VLOOKUP("dez",$C$223:D225,2,FALSE)-1)*100)))</f>
        <v>0.99752956116740954</v>
      </c>
      <c r="I226" s="107">
        <f t="shared" si="15"/>
        <v>4.0502187841084947</v>
      </c>
      <c r="J226" s="137"/>
      <c r="K226" s="40">
        <v>44985</v>
      </c>
      <c r="L226" s="41">
        <f t="shared" si="16"/>
        <v>0.33141038375481219</v>
      </c>
      <c r="M226" s="78">
        <f t="shared" si="19"/>
        <v>0.33141038375481219</v>
      </c>
      <c r="O226" s="138"/>
      <c r="P226" s="5"/>
      <c r="Q226" s="5"/>
      <c r="R226" s="5"/>
    </row>
    <row r="227" spans="2:18" x14ac:dyDescent="0.2">
      <c r="B227" s="36"/>
      <c r="C227" s="23" t="s">
        <v>13</v>
      </c>
      <c r="D227" s="140">
        <f t="shared" si="17"/>
        <v>7094.9919433254199</v>
      </c>
      <c r="E227" s="141">
        <f t="shared" si="18"/>
        <v>0.33141019938454924</v>
      </c>
      <c r="F227" s="106">
        <f t="shared" si="13"/>
        <v>0.99752937557306964</v>
      </c>
      <c r="G227" s="106">
        <f t="shared" si="14"/>
        <v>2.0050098693892737</v>
      </c>
      <c r="H227" s="106">
        <f>IF(E227="","",(((D227/VLOOKUP("dez",$C$223:D226,2,FALSE)-1)*100)))</f>
        <v>1.3322456752595357</v>
      </c>
      <c r="I227" s="107">
        <f t="shared" si="15"/>
        <v>4.0502186301116128</v>
      </c>
      <c r="J227" s="137"/>
      <c r="K227" s="40">
        <v>45016</v>
      </c>
      <c r="L227" s="41">
        <f t="shared" si="16"/>
        <v>0.33141031123907089</v>
      </c>
      <c r="M227" s="78">
        <f t="shared" si="19"/>
        <v>0.33141031123907089</v>
      </c>
      <c r="O227" s="138"/>
      <c r="P227" s="5"/>
      <c r="Q227" s="5"/>
      <c r="R227" s="5"/>
    </row>
    <row r="228" spans="2:18" x14ac:dyDescent="0.2">
      <c r="B228" s="36"/>
      <c r="C228" s="23" t="s">
        <v>14</v>
      </c>
      <c r="D228" s="140">
        <f t="shared" si="17"/>
        <v>7118.5054693931479</v>
      </c>
      <c r="E228" s="141">
        <f t="shared" si="18"/>
        <v>0.33141018701013769</v>
      </c>
      <c r="F228" s="106">
        <f t="shared" si="13"/>
        <v>0.99752925051934671</v>
      </c>
      <c r="G228" s="106">
        <f t="shared" si="14"/>
        <v>2.0050096470929368</v>
      </c>
      <c r="H228" s="106">
        <f>IF(E228="","",(((D228/VLOOKUP("dez",$C$223:D227,2,FALSE)-1)*100)))</f>
        <v>1.6680710601534754</v>
      </c>
      <c r="I228" s="107">
        <f t="shared" si="15"/>
        <v>4.0502187851865656</v>
      </c>
      <c r="J228" s="137"/>
      <c r="K228" s="40">
        <v>45046</v>
      </c>
      <c r="L228" s="41">
        <f t="shared" si="16"/>
        <v>0.33141024234556121</v>
      </c>
      <c r="M228" s="78">
        <f t="shared" si="19"/>
        <v>0.33141024234556121</v>
      </c>
      <c r="O228" s="138"/>
      <c r="P228" s="5"/>
      <c r="Q228" s="5"/>
      <c r="R228" s="5"/>
    </row>
    <row r="229" spans="2:18" x14ac:dyDescent="0.2">
      <c r="B229" s="36"/>
      <c r="C229" s="23" t="s">
        <v>15</v>
      </c>
      <c r="D229" s="140">
        <f t="shared" si="17"/>
        <v>7142.0969225686304</v>
      </c>
      <c r="E229" s="141">
        <f t="shared" si="18"/>
        <v>0.33141019947118039</v>
      </c>
      <c r="F229" s="106">
        <f t="shared" si="13"/>
        <v>0.99752920736031481</v>
      </c>
      <c r="G229" s="106">
        <f t="shared" si="14"/>
        <v>2.0050094172524124</v>
      </c>
      <c r="H229" s="106">
        <f>IF(E229="","",(((D229/VLOOKUP("dez",$C$223:D228,2,FALSE)-1)*100)))</f>
        <v>2.0050094172524124</v>
      </c>
      <c r="I229" s="107">
        <f t="shared" si="15"/>
        <v>4.0502191141022381</v>
      </c>
      <c r="J229" s="137"/>
      <c r="K229" s="40">
        <v>45077</v>
      </c>
      <c r="L229" s="41">
        <f t="shared" si="16"/>
        <v>0.33141019938454924</v>
      </c>
      <c r="M229" s="78">
        <f t="shared" si="19"/>
        <v>0.33141019938454924</v>
      </c>
      <c r="O229" s="138"/>
      <c r="P229" s="5"/>
      <c r="Q229" s="5"/>
      <c r="R229" s="5"/>
    </row>
    <row r="230" spans="2:18" x14ac:dyDescent="0.2">
      <c r="B230" s="36"/>
      <c r="C230" s="23" t="s">
        <v>16</v>
      </c>
      <c r="D230" s="140">
        <f t="shared" si="17"/>
        <v>7165.7665621137958</v>
      </c>
      <c r="E230" s="141">
        <f t="shared" si="18"/>
        <v>0.33141022590118396</v>
      </c>
      <c r="F230" s="106">
        <f t="shared" si="13"/>
        <v>0.9975292340529851</v>
      </c>
      <c r="G230" s="106">
        <f t="shared" si="14"/>
        <v>2.0050092567656774</v>
      </c>
      <c r="H230" s="106">
        <f>IF(E230="","",(((D230/VLOOKUP("dez",$C$223:D229,2,FALSE)-1)*100)))</f>
        <v>2.3430644493926511</v>
      </c>
      <c r="I230" s="107">
        <f t="shared" si="15"/>
        <v>4.0502194692539462</v>
      </c>
      <c r="J230" s="137"/>
      <c r="K230" s="40">
        <v>45107</v>
      </c>
      <c r="L230" s="41">
        <f t="shared" si="16"/>
        <v>0.33141018701013769</v>
      </c>
      <c r="M230" s="78">
        <f t="shared" si="19"/>
        <v>0.33141018701013769</v>
      </c>
      <c r="O230" s="138"/>
      <c r="P230" s="5"/>
      <c r="Q230" s="5"/>
      <c r="R230" s="5"/>
    </row>
    <row r="231" spans="2:18" x14ac:dyDescent="0.2">
      <c r="B231" s="36"/>
      <c r="C231" s="23" t="s">
        <v>17</v>
      </c>
      <c r="D231" s="140">
        <f t="shared" si="17"/>
        <v>7189.5146473098303</v>
      </c>
      <c r="E231" s="141">
        <f t="shared" si="18"/>
        <v>0.3314102544393871</v>
      </c>
      <c r="F231" s="106">
        <f t="shared" si="13"/>
        <v>0.99752930192993361</v>
      </c>
      <c r="G231" s="106">
        <f t="shared" si="14"/>
        <v>2.005009199018537</v>
      </c>
      <c r="H231" s="106">
        <f>IF(E231="","",(((D231/VLOOKUP("dez",$C$223:D230,2,FALSE)-1)*100)))</f>
        <v>2.6822398596854535</v>
      </c>
      <c r="I231" s="107">
        <f t="shared" si="15"/>
        <v>4.050219734901872</v>
      </c>
      <c r="J231" s="137"/>
      <c r="K231" s="40">
        <v>45138</v>
      </c>
      <c r="L231" s="41">
        <f t="shared" si="16"/>
        <v>0.33141019947118039</v>
      </c>
      <c r="M231" s="78">
        <f t="shared" si="19"/>
        <v>0.33141019947118039</v>
      </c>
      <c r="O231" s="138"/>
      <c r="P231" s="5"/>
      <c r="Q231" s="5"/>
      <c r="R231" s="5"/>
    </row>
    <row r="232" spans="2:18" x14ac:dyDescent="0.2">
      <c r="B232" s="19"/>
      <c r="C232" s="35" t="s">
        <v>18</v>
      </c>
      <c r="D232" s="140">
        <f t="shared" si="17"/>
        <v>7213.3414376301198</v>
      </c>
      <c r="E232" s="141">
        <f t="shared" si="18"/>
        <v>0.33141027578551346</v>
      </c>
      <c r="F232" s="106">
        <f t="shared" si="13"/>
        <v>0.99752937875094982</v>
      </c>
      <c r="G232" s="106">
        <f t="shared" si="14"/>
        <v>2.0050092330162972</v>
      </c>
      <c r="H232" s="106">
        <f>IF(E232="","",(((D232/VLOOKUP("dez",$C$223:D231,2,FALSE)-1)*100)))</f>
        <v>3.022539353987197</v>
      </c>
      <c r="I232" s="107">
        <f t="shared" si="15"/>
        <v>4.0502198527040401</v>
      </c>
      <c r="J232" s="137"/>
      <c r="K232" s="40">
        <v>45169</v>
      </c>
      <c r="L232" s="41">
        <f t="shared" si="16"/>
        <v>0.33141022590118396</v>
      </c>
      <c r="M232" s="78">
        <f t="shared" si="19"/>
        <v>0.33141022590118396</v>
      </c>
      <c r="O232" s="138"/>
      <c r="P232" s="5"/>
      <c r="Q232" s="5"/>
      <c r="R232" s="5"/>
    </row>
    <row r="233" spans="2:18" x14ac:dyDescent="0.2">
      <c r="B233" s="36"/>
      <c r="C233" s="23" t="s">
        <v>19</v>
      </c>
      <c r="D233" s="140">
        <f t="shared" si="17"/>
        <v>7237.2471930647343</v>
      </c>
      <c r="E233" s="141">
        <f t="shared" si="18"/>
        <v>0.33141028525150079</v>
      </c>
      <c r="F233" s="106">
        <f t="shared" si="13"/>
        <v>0.99752943849531484</v>
      </c>
      <c r="G233" s="106">
        <f t="shared" si="14"/>
        <v>2.0050093203155761</v>
      </c>
      <c r="H233" s="106">
        <f>IF(E233="","",(((D233/VLOOKUP("dez",$C$223:D232,2,FALSE)-1)*100)))</f>
        <v>3.3639666455335782</v>
      </c>
      <c r="I233" s="107">
        <f t="shared" si="15"/>
        <v>4.0502198244593668</v>
      </c>
      <c r="J233" s="137"/>
      <c r="K233" s="40">
        <v>45199</v>
      </c>
      <c r="L233" s="41">
        <f t="shared" si="16"/>
        <v>0.3314102544393871</v>
      </c>
      <c r="M233" s="78">
        <f t="shared" si="19"/>
        <v>0.3314102544393871</v>
      </c>
      <c r="O233" s="138"/>
      <c r="P233" s="5"/>
      <c r="Q233" s="5"/>
      <c r="R233" s="5"/>
    </row>
    <row r="234" spans="2:18" x14ac:dyDescent="0.2">
      <c r="B234" s="19"/>
      <c r="C234" s="35" t="s">
        <v>20</v>
      </c>
      <c r="D234" s="140">
        <f t="shared" si="17"/>
        <v>7261.2321744673691</v>
      </c>
      <c r="E234" s="141">
        <f t="shared" si="18"/>
        <v>0.33141028298190123</v>
      </c>
      <c r="F234" s="106">
        <f t="shared" si="13"/>
        <v>0.9975294672273094</v>
      </c>
      <c r="G234" s="106">
        <f t="shared" si="14"/>
        <v>2.0050094178882372</v>
      </c>
      <c r="H234" s="106">
        <f>IF(E234="","",(((D234/VLOOKUP("dez",$C$223:D233,2,FALSE)-1)*100)))</f>
        <v>3.7065254598948494</v>
      </c>
      <c r="I234" s="107">
        <f t="shared" si="15"/>
        <v>4.0502196972349358</v>
      </c>
      <c r="J234" s="137"/>
      <c r="K234" s="40">
        <v>45230</v>
      </c>
      <c r="L234" s="41">
        <f t="shared" si="16"/>
        <v>0.33141027578551346</v>
      </c>
      <c r="M234" s="78">
        <f t="shared" si="19"/>
        <v>0.33141027578551346</v>
      </c>
      <c r="O234" s="138"/>
      <c r="P234" s="5"/>
      <c r="Q234" s="5"/>
      <c r="R234" s="5"/>
    </row>
    <row r="235" spans="2:18" x14ac:dyDescent="0.2">
      <c r="B235" s="36"/>
      <c r="C235" s="23" t="s">
        <v>21</v>
      </c>
      <c r="D235" s="140">
        <f t="shared" si="17"/>
        <v>7285.2966438224194</v>
      </c>
      <c r="E235" s="141">
        <f t="shared" si="18"/>
        <v>0.33141027275878904</v>
      </c>
      <c r="F235" s="106">
        <f t="shared" si="13"/>
        <v>0.99752946418047994</v>
      </c>
      <c r="G235" s="106">
        <f t="shared" si="14"/>
        <v>2.0050094923983242</v>
      </c>
      <c r="H235" s="106">
        <f>IF(E235="","",(((D235/VLOOKUP("dez",$C$223:D234,2,FALSE)-1)*100)))</f>
        <v>4.050219538790123</v>
      </c>
      <c r="I235" s="107">
        <f t="shared" si="15"/>
        <v>4.050219538790123</v>
      </c>
      <c r="J235" s="137"/>
      <c r="K235" s="40">
        <v>45260</v>
      </c>
      <c r="L235" s="41">
        <f t="shared" si="16"/>
        <v>0.33141028525150079</v>
      </c>
      <c r="M235" s="78">
        <f t="shared" si="19"/>
        <v>0.33141028525150079</v>
      </c>
      <c r="O235" s="138"/>
      <c r="P235" s="5"/>
      <c r="Q235" s="5"/>
      <c r="R235" s="5"/>
    </row>
    <row r="236" spans="2:18" x14ac:dyDescent="0.2">
      <c r="B236" s="36">
        <v>2028</v>
      </c>
      <c r="C236" s="23" t="s">
        <v>10</v>
      </c>
      <c r="D236" s="140">
        <f t="shared" si="17"/>
        <v>7309.4408643734469</v>
      </c>
      <c r="E236" s="141">
        <f t="shared" si="18"/>
        <v>0.33141026002696555</v>
      </c>
      <c r="F236" s="106">
        <f t="shared" si="13"/>
        <v>0.99752943878845812</v>
      </c>
      <c r="G236" s="106">
        <f t="shared" si="14"/>
        <v>2.0050095270933488</v>
      </c>
      <c r="H236" s="106">
        <f>IF(E236="","",(((D236/VLOOKUP("dez",$C$235:D235,2,FALSE)-1)*100)))</f>
        <v>0.33141026002696528</v>
      </c>
      <c r="I236" s="107">
        <f t="shared" si="15"/>
        <v>4.0502194104762745</v>
      </c>
      <c r="J236" s="137"/>
      <c r="K236" s="40">
        <v>45291</v>
      </c>
      <c r="L236" s="41">
        <f t="shared" si="16"/>
        <v>0.33141028298190123</v>
      </c>
      <c r="M236" s="78">
        <f t="shared" si="19"/>
        <v>0.33141028298190123</v>
      </c>
      <c r="O236" s="138"/>
      <c r="P236" s="5"/>
      <c r="Q236" s="5"/>
      <c r="R236" s="5"/>
    </row>
    <row r="237" spans="2:18" x14ac:dyDescent="0.2">
      <c r="B237" s="36"/>
      <c r="C237" s="23" t="s">
        <v>11</v>
      </c>
      <c r="D237" s="140">
        <f t="shared" si="17"/>
        <v>7333.6651005949325</v>
      </c>
      <c r="E237" s="141">
        <f t="shared" si="18"/>
        <v>0.33141024971631172</v>
      </c>
      <c r="F237" s="106">
        <f t="shared" si="13"/>
        <v>0.99752940530202228</v>
      </c>
      <c r="G237" s="106">
        <f t="shared" si="14"/>
        <v>2.0050095222914788</v>
      </c>
      <c r="H237" s="106">
        <f>IF(E237="","",(((D237/VLOOKUP("dez",$C$235:D236,2,FALSE)-1)*100)))</f>
        <v>0.66391883731360402</v>
      </c>
      <c r="I237" s="107">
        <f t="shared" si="15"/>
        <v>4.0502193466731562</v>
      </c>
      <c r="J237" s="137"/>
      <c r="K237" s="40">
        <v>45322</v>
      </c>
      <c r="L237" s="41">
        <f t="shared" si="16"/>
        <v>0.33141027275878904</v>
      </c>
      <c r="M237" s="78">
        <f t="shared" si="19"/>
        <v>0.33141027275878904</v>
      </c>
      <c r="O237" s="138"/>
      <c r="P237" s="5"/>
      <c r="Q237" s="5"/>
      <c r="R237" s="5"/>
    </row>
    <row r="238" spans="2:18" x14ac:dyDescent="0.2">
      <c r="B238" s="36"/>
      <c r="C238" s="23" t="s">
        <v>12</v>
      </c>
      <c r="D238" s="140">
        <f t="shared" si="17"/>
        <v>7357.9696180421834</v>
      </c>
      <c r="E238" s="141">
        <f t="shared" si="18"/>
        <v>0.33141024458941509</v>
      </c>
      <c r="F238" s="106">
        <f t="shared" si="13"/>
        <v>0.99752937694563837</v>
      </c>
      <c r="G238" s="106">
        <f t="shared" si="14"/>
        <v>2.0050094905750049</v>
      </c>
      <c r="H238" s="106">
        <f>IF(E238="","",(((D238/VLOOKUP("dez",$C$235:D237,2,FALSE)-1)*100)))</f>
        <v>0.99752937694563837</v>
      </c>
      <c r="I238" s="107">
        <f t="shared" si="15"/>
        <v>4.0502193490001837</v>
      </c>
      <c r="J238" s="137"/>
      <c r="K238" s="40">
        <v>45351</v>
      </c>
      <c r="L238" s="41">
        <f t="shared" si="16"/>
        <v>0.33141026002696555</v>
      </c>
      <c r="M238" s="78">
        <f t="shared" si="19"/>
        <v>0.33141026002696555</v>
      </c>
      <c r="O238" s="138"/>
      <c r="P238" s="5"/>
      <c r="Q238" s="5"/>
      <c r="R238" s="5"/>
    </row>
    <row r="239" spans="2:18" x14ac:dyDescent="0.2">
      <c r="B239" s="36"/>
      <c r="C239" s="23" t="s">
        <v>13</v>
      </c>
      <c r="D239" s="140">
        <f t="shared" si="17"/>
        <v>7382.3546831639105</v>
      </c>
      <c r="E239" s="141">
        <f t="shared" si="18"/>
        <v>0.33141024477640291</v>
      </c>
      <c r="F239" s="106">
        <f t="shared" si="13"/>
        <v>0.99752936159382966</v>
      </c>
      <c r="G239" s="106">
        <f t="shared" si="14"/>
        <v>2.0050094494247661</v>
      </c>
      <c r="H239" s="106">
        <f>IF(E239="","",(((D239/VLOOKUP("dez",$C$235:D238,2,FALSE)-1)*100)))</f>
        <v>1.3322455362719143</v>
      </c>
      <c r="I239" s="107">
        <f t="shared" si="15"/>
        <v>4.0502193960745281</v>
      </c>
      <c r="J239" s="137"/>
      <c r="K239" s="40">
        <v>45382</v>
      </c>
      <c r="L239" s="41">
        <f t="shared" si="16"/>
        <v>0.33141024971631172</v>
      </c>
      <c r="M239" s="78">
        <f t="shared" si="19"/>
        <v>0.33141024971631172</v>
      </c>
      <c r="O239" s="138"/>
      <c r="P239" s="5"/>
      <c r="Q239" s="5"/>
      <c r="R239" s="5"/>
    </row>
    <row r="240" spans="2:18" x14ac:dyDescent="0.2">
      <c r="B240" s="36"/>
      <c r="C240" s="23" t="s">
        <v>14</v>
      </c>
      <c r="D240" s="140">
        <f t="shared" si="17"/>
        <v>7406.8205631688943</v>
      </c>
      <c r="E240" s="141">
        <f t="shared" si="18"/>
        <v>0.33141024855905737</v>
      </c>
      <c r="F240" s="106">
        <f t="shared" si="13"/>
        <v>0.99752936042889484</v>
      </c>
      <c r="G240" s="106">
        <f t="shared" si="14"/>
        <v>2.0050094144277164</v>
      </c>
      <c r="H240" s="106">
        <f>IF(E240="","",(((D240/VLOOKUP("dez",$C$235:D239,2,FALSE)-1)*100)))</f>
        <v>1.6680709830741325</v>
      </c>
      <c r="I240" s="107">
        <f t="shared" si="15"/>
        <v>4.0502194599047581</v>
      </c>
      <c r="J240" s="137"/>
      <c r="K240" s="40">
        <v>45412</v>
      </c>
      <c r="L240" s="41">
        <f t="shared" si="16"/>
        <v>0.33141024458941509</v>
      </c>
      <c r="M240" s="78">
        <f t="shared" si="19"/>
        <v>0.33141024458941509</v>
      </c>
      <c r="O240" s="138"/>
      <c r="P240" s="5"/>
      <c r="Q240" s="5"/>
      <c r="R240" s="5"/>
    </row>
    <row r="241" spans="2:18" x14ac:dyDescent="0.2">
      <c r="B241" s="36"/>
      <c r="C241" s="23" t="s">
        <v>15</v>
      </c>
      <c r="D241" s="140">
        <f t="shared" si="17"/>
        <v>7431.3675259875163</v>
      </c>
      <c r="E241" s="141">
        <f t="shared" si="18"/>
        <v>0.33141025368813409</v>
      </c>
      <c r="F241" s="106">
        <f t="shared" ref="F241:F271" si="20">IF(E241="","",(((D241/D238)-1)*100))</f>
        <v>0.99752936958801275</v>
      </c>
      <c r="G241" s="106">
        <f t="shared" ref="G241:G271" si="21">IF(E241="","",(((D241/D235)-1)*100))</f>
        <v>2.0050093950389591</v>
      </c>
      <c r="H241" s="106">
        <f>IF(E241="","",(((D241/VLOOKUP("dez",$C$235:D240,2,FALSE)-1)*100)))</f>
        <v>2.0050093950389591</v>
      </c>
      <c r="I241" s="107">
        <f t="shared" ref="I241:I271" si="22">IF(E241="","",(((D241/D229)-1)*100))</f>
        <v>4.0502195161312704</v>
      </c>
      <c r="J241" s="137"/>
      <c r="K241" s="40">
        <v>45443</v>
      </c>
      <c r="L241" s="41">
        <f t="shared" si="16"/>
        <v>0.33141024477640291</v>
      </c>
      <c r="M241" s="78">
        <f t="shared" si="19"/>
        <v>0.33141024477640291</v>
      </c>
      <c r="O241" s="138"/>
      <c r="P241" s="5"/>
      <c r="Q241" s="5"/>
      <c r="R241" s="5"/>
    </row>
    <row r="242" spans="2:18" x14ac:dyDescent="0.2">
      <c r="B242" s="36"/>
      <c r="C242" s="23" t="s">
        <v>16</v>
      </c>
      <c r="D242" s="140">
        <f t="shared" si="17"/>
        <v>7455.9958402936445</v>
      </c>
      <c r="E242" s="141">
        <f t="shared" si="18"/>
        <v>0.3314102582062135</v>
      </c>
      <c r="F242" s="106">
        <f t="shared" si="20"/>
        <v>0.99752938310697647</v>
      </c>
      <c r="G242" s="106">
        <f t="shared" si="21"/>
        <v>2.0050093931878399</v>
      </c>
      <c r="H242" s="106">
        <f>IF(E242="","",(((D242/VLOOKUP("dez",$C$235:D241,2,FALSE)-1)*100)))</f>
        <v>2.3430644600583195</v>
      </c>
      <c r="I242" s="107">
        <f t="shared" si="22"/>
        <v>4.0502195496337157</v>
      </c>
      <c r="J242" s="137"/>
      <c r="K242" s="40">
        <v>45473</v>
      </c>
      <c r="L242" s="41">
        <f t="shared" si="16"/>
        <v>0.33141024855905737</v>
      </c>
      <c r="M242" s="78">
        <f t="shared" si="19"/>
        <v>0.33141024855905737</v>
      </c>
      <c r="O242" s="138"/>
      <c r="P242" s="5"/>
      <c r="Q242" s="5"/>
      <c r="R242" s="5"/>
    </row>
    <row r="243" spans="2:18" x14ac:dyDescent="0.2">
      <c r="B243" s="36"/>
      <c r="C243" s="23" t="s">
        <v>17</v>
      </c>
      <c r="D243" s="140">
        <f t="shared" si="17"/>
        <v>7480.7057755605274</v>
      </c>
      <c r="E243" s="141">
        <f t="shared" si="18"/>
        <v>0.33141026089829934</v>
      </c>
      <c r="F243" s="106">
        <f t="shared" si="20"/>
        <v>0.99752939552815167</v>
      </c>
      <c r="G243" s="106">
        <f t="shared" si="21"/>
        <v>2.005009404556346</v>
      </c>
      <c r="H243" s="106">
        <f>IF(E243="","",(((D243/VLOOKUP("dez",$C$235:D242,2,FALSE)-1)*100)))</f>
        <v>2.6822398769967171</v>
      </c>
      <c r="I243" s="107">
        <f t="shared" si="22"/>
        <v>4.050219556332002</v>
      </c>
      <c r="J243" s="137"/>
      <c r="K243" s="40">
        <v>45504</v>
      </c>
      <c r="L243" s="41">
        <f t="shared" si="16"/>
        <v>0.33141025368813409</v>
      </c>
      <c r="M243" s="78">
        <f t="shared" si="19"/>
        <v>0.33141025368813409</v>
      </c>
      <c r="O243" s="138"/>
      <c r="P243" s="5"/>
      <c r="Q243" s="5"/>
      <c r="R243" s="5"/>
    </row>
    <row r="244" spans="2:18" x14ac:dyDescent="0.2">
      <c r="B244" s="19"/>
      <c r="C244" s="35" t="s">
        <v>18</v>
      </c>
      <c r="D244" s="140">
        <f t="shared" si="17"/>
        <v>7505.4976021286111</v>
      </c>
      <c r="E244" s="141">
        <f t="shared" si="18"/>
        <v>0.33141026143654201</v>
      </c>
      <c r="F244" s="106">
        <f t="shared" si="20"/>
        <v>0.99752940332800133</v>
      </c>
      <c r="G244" s="106">
        <f t="shared" si="21"/>
        <v>2.0050094216844894</v>
      </c>
      <c r="H244" s="106">
        <f>IF(E244="","",(((D244/VLOOKUP("dez",$C$235:D243,2,FALSE)-1)*100)))</f>
        <v>3.0225393566219561</v>
      </c>
      <c r="I244" s="107">
        <f t="shared" si="22"/>
        <v>4.0502195414511943</v>
      </c>
      <c r="J244" s="137"/>
      <c r="K244" s="40">
        <v>45535</v>
      </c>
      <c r="L244" s="41">
        <f t="shared" ref="L244:L271" si="23">IF(E242="",M243,E242)</f>
        <v>0.3314102582062135</v>
      </c>
      <c r="M244" s="78">
        <f t="shared" si="19"/>
        <v>0.3314102582062135</v>
      </c>
      <c r="O244" s="138"/>
      <c r="P244" s="5"/>
      <c r="Q244" s="5"/>
      <c r="R244" s="5"/>
    </row>
    <row r="245" spans="2:18" x14ac:dyDescent="0.2">
      <c r="B245" s="36"/>
      <c r="C245" s="23" t="s">
        <v>19</v>
      </c>
      <c r="D245" s="140">
        <f t="shared" si="17"/>
        <v>7530.3715912641919</v>
      </c>
      <c r="E245" s="141">
        <f t="shared" si="18"/>
        <v>0.3314102602407944</v>
      </c>
      <c r="F245" s="106">
        <f t="shared" si="20"/>
        <v>0.99752940537609636</v>
      </c>
      <c r="G245" s="106">
        <f t="shared" si="21"/>
        <v>2.0050094374068239</v>
      </c>
      <c r="H245" s="106">
        <f>IF(E245="","",(((D245/VLOOKUP("dez",$C$235:D244,2,FALSE)-1)*100)))</f>
        <v>3.3639666224104081</v>
      </c>
      <c r="I245" s="107">
        <f t="shared" si="22"/>
        <v>4.0502195155134535</v>
      </c>
      <c r="J245" s="137"/>
      <c r="K245" s="40">
        <v>45565</v>
      </c>
      <c r="L245" s="41">
        <f t="shared" si="23"/>
        <v>0.33141026089829934</v>
      </c>
      <c r="M245" s="78">
        <f t="shared" si="19"/>
        <v>0.33141026089829934</v>
      </c>
      <c r="O245" s="138"/>
      <c r="P245" s="5"/>
      <c r="Q245" s="5"/>
      <c r="R245" s="5"/>
    </row>
    <row r="246" spans="2:18" x14ac:dyDescent="0.2">
      <c r="B246" s="19"/>
      <c r="C246" s="35" t="s">
        <v>20</v>
      </c>
      <c r="D246" s="140">
        <f t="shared" si="17"/>
        <v>7555.3280151949493</v>
      </c>
      <c r="E246" s="141">
        <f t="shared" si="18"/>
        <v>0.33141025815656888</v>
      </c>
      <c r="F246" s="106">
        <f t="shared" si="20"/>
        <v>0.99752940261617074</v>
      </c>
      <c r="G246" s="106">
        <f t="shared" si="21"/>
        <v>2.0050094471644409</v>
      </c>
      <c r="H246" s="106">
        <f>IF(E246="","",(((D246/VLOOKUP("dez",$C$235:D245,2,FALSE)-1)*100)))</f>
        <v>3.7065254110346224</v>
      </c>
      <c r="I246" s="107">
        <f t="shared" si="22"/>
        <v>4.0502194897679811</v>
      </c>
      <c r="J246" s="137"/>
      <c r="K246" s="40">
        <v>45596</v>
      </c>
      <c r="L246" s="41">
        <f t="shared" si="23"/>
        <v>0.33141026143654201</v>
      </c>
      <c r="M246" s="78">
        <f t="shared" si="19"/>
        <v>0.33141026143654201</v>
      </c>
      <c r="O246" s="138"/>
      <c r="P246" s="5"/>
      <c r="Q246" s="5"/>
      <c r="R246" s="5"/>
    </row>
    <row r="247" spans="2:18" x14ac:dyDescent="0.2">
      <c r="B247" s="36"/>
      <c r="C247" s="23" t="s">
        <v>21</v>
      </c>
      <c r="D247" s="140">
        <f t="shared" si="17"/>
        <v>7580.3671471183789</v>
      </c>
      <c r="E247" s="141">
        <f t="shared" si="18"/>
        <v>0.33141025608779112</v>
      </c>
      <c r="F247" s="106">
        <f t="shared" si="20"/>
        <v>0.99752939723189993</v>
      </c>
      <c r="G247" s="106">
        <f t="shared" si="21"/>
        <v>2.0050094496041337</v>
      </c>
      <c r="H247" s="106">
        <f>IF(E247="","",(((D247/VLOOKUP("dez",$C$235:D246,2,FALSE)-1)*100)))</f>
        <v>4.0502194724790552</v>
      </c>
      <c r="I247" s="107">
        <f t="shared" si="22"/>
        <v>4.0502194724790552</v>
      </c>
      <c r="J247" s="137"/>
      <c r="K247" s="40">
        <v>45626</v>
      </c>
      <c r="L247" s="41">
        <f t="shared" si="23"/>
        <v>0.3314102602407944</v>
      </c>
      <c r="M247" s="78">
        <f t="shared" si="19"/>
        <v>0.3314102602407944</v>
      </c>
      <c r="O247" s="138"/>
      <c r="P247" s="5"/>
      <c r="Q247" s="5"/>
      <c r="R247" s="5"/>
    </row>
    <row r="248" spans="2:18" x14ac:dyDescent="0.2">
      <c r="B248" s="36">
        <v>2029</v>
      </c>
      <c r="C248" s="23" t="s">
        <v>10</v>
      </c>
      <c r="D248" s="140">
        <f t="shared" si="17"/>
        <v>7605.4892611877285</v>
      </c>
      <c r="E248" s="141">
        <f t="shared" si="18"/>
        <v>0.3314102546985413</v>
      </c>
      <c r="F248" s="106">
        <f t="shared" si="20"/>
        <v>0.99752939165285159</v>
      </c>
      <c r="G248" s="106">
        <f t="shared" si="21"/>
        <v>2.005009446037942</v>
      </c>
      <c r="H248" s="106">
        <f>IF(E248="","",(((D248/VLOOKUP("dez",$C$247:D247,2,FALSE)-1)*100)))</f>
        <v>0.33141025469853869</v>
      </c>
      <c r="I248" s="107">
        <f t="shared" si="22"/>
        <v>4.0502194669531422</v>
      </c>
      <c r="J248" s="137"/>
      <c r="K248" s="40">
        <v>45657</v>
      </c>
      <c r="L248" s="41">
        <f t="shared" si="23"/>
        <v>0.33141025815656888</v>
      </c>
      <c r="M248" s="78">
        <f t="shared" si="19"/>
        <v>0.33141025815656888</v>
      </c>
      <c r="O248" s="138"/>
      <c r="P248" s="5"/>
      <c r="Q248" s="5"/>
      <c r="R248" s="5"/>
    </row>
    <row r="249" spans="2:18" x14ac:dyDescent="0.2">
      <c r="B249" s="36"/>
      <c r="C249" s="23" t="s">
        <v>11</v>
      </c>
      <c r="D249" s="140">
        <f t="shared" si="17"/>
        <v>7630.6946324855307</v>
      </c>
      <c r="E249" s="141">
        <f t="shared" si="18"/>
        <v>0.33141025425450593</v>
      </c>
      <c r="F249" s="106">
        <f t="shared" si="20"/>
        <v>0.99752938772488253</v>
      </c>
      <c r="G249" s="106">
        <f t="shared" si="21"/>
        <v>2.0050094392833451</v>
      </c>
      <c r="H249" s="106">
        <f>IF(E249="","",(((D249/VLOOKUP("dez",$C$247:D248,2,FALSE)-1)*100)))</f>
        <v>0.66391883652077155</v>
      </c>
      <c r="I249" s="107">
        <f t="shared" si="22"/>
        <v>4.0502194716595774</v>
      </c>
      <c r="J249" s="137"/>
      <c r="K249" s="40">
        <v>45688</v>
      </c>
      <c r="L249" s="41">
        <f t="shared" si="23"/>
        <v>0.33141025608779112</v>
      </c>
      <c r="M249" s="78">
        <f t="shared" si="19"/>
        <v>0.33141025608779112</v>
      </c>
      <c r="O249" s="138"/>
      <c r="P249" s="5"/>
      <c r="Q249" s="5"/>
      <c r="R249" s="5"/>
    </row>
    <row r="250" spans="2:18" x14ac:dyDescent="0.2">
      <c r="B250" s="36"/>
      <c r="C250" s="23" t="s">
        <v>12</v>
      </c>
      <c r="D250" s="140">
        <f t="shared" si="17"/>
        <v>7655.9835369972934</v>
      </c>
      <c r="E250" s="141">
        <f t="shared" si="18"/>
        <v>0.33141025463268881</v>
      </c>
      <c r="F250" s="106">
        <f t="shared" si="20"/>
        <v>0.99752938626012089</v>
      </c>
      <c r="G250" s="106">
        <f t="shared" si="21"/>
        <v>2.0050094323659895</v>
      </c>
      <c r="H250" s="106">
        <f>IF(E250="","",(((D250/VLOOKUP("dez",$C$247:D249,2,FALSE)-1)*100)))</f>
        <v>0.99752938626012089</v>
      </c>
      <c r="I250" s="107">
        <f t="shared" si="22"/>
        <v>4.0502194820750903</v>
      </c>
      <c r="J250" s="137"/>
      <c r="K250" s="40">
        <v>45716</v>
      </c>
      <c r="L250" s="41">
        <f t="shared" si="23"/>
        <v>0.3314102546985413</v>
      </c>
      <c r="M250" s="78">
        <f t="shared" si="19"/>
        <v>0.3314102546985413</v>
      </c>
      <c r="O250" s="138"/>
      <c r="P250" s="5"/>
      <c r="Q250" s="5"/>
      <c r="R250" s="5"/>
    </row>
    <row r="251" spans="2:18" x14ac:dyDescent="0.2">
      <c r="B251" s="36"/>
      <c r="C251" s="23" t="s">
        <v>13</v>
      </c>
      <c r="D251" s="140">
        <f t="shared" si="17"/>
        <v>7681.3562515959693</v>
      </c>
      <c r="E251" s="141">
        <f t="shared" si="18"/>
        <v>0.33141025546962827</v>
      </c>
      <c r="F251" s="106">
        <f t="shared" si="20"/>
        <v>0.99752938703634442</v>
      </c>
      <c r="G251" s="106">
        <f t="shared" si="21"/>
        <v>2.0050094275152475</v>
      </c>
      <c r="H251" s="106">
        <f>IF(E251="","",(((D251/VLOOKUP("dez",$C$247:D250,2,FALSE)-1)*100)))</f>
        <v>1.3322455564171554</v>
      </c>
      <c r="I251" s="107">
        <f t="shared" si="22"/>
        <v>4.050219493164664</v>
      </c>
      <c r="J251" s="137"/>
      <c r="K251" s="40">
        <v>45747</v>
      </c>
      <c r="L251" s="41">
        <f t="shared" si="23"/>
        <v>0.33141025425450593</v>
      </c>
      <c r="M251" s="78">
        <f t="shared" si="19"/>
        <v>0.33141025425450593</v>
      </c>
      <c r="O251" s="138"/>
      <c r="P251" s="5"/>
      <c r="Q251" s="5"/>
      <c r="R251" s="5"/>
    </row>
    <row r="252" spans="2:18" x14ac:dyDescent="0.2">
      <c r="B252" s="36"/>
      <c r="C252" s="23" t="s">
        <v>14</v>
      </c>
      <c r="D252" s="140">
        <f t="shared" si="17"/>
        <v>7706.813054041364</v>
      </c>
      <c r="E252" s="141">
        <f t="shared" si="18"/>
        <v>0.33141025636073035</v>
      </c>
      <c r="F252" s="106">
        <f t="shared" si="20"/>
        <v>0.99752938915653733</v>
      </c>
      <c r="G252" s="106">
        <f t="shared" si="21"/>
        <v>2.0050094256894635</v>
      </c>
      <c r="H252" s="106">
        <f>IF(E252="","",(((D252/VLOOKUP("dez",$C$247:D251,2,FALSE)-1)*100)))</f>
        <v>1.6680710111917518</v>
      </c>
      <c r="I252" s="107">
        <f t="shared" si="22"/>
        <v>4.0502195012555031</v>
      </c>
      <c r="J252" s="137"/>
      <c r="K252" s="40">
        <v>45777</v>
      </c>
      <c r="L252" s="41">
        <f t="shared" si="23"/>
        <v>0.33141025463268881</v>
      </c>
      <c r="M252" s="78">
        <f t="shared" si="19"/>
        <v>0.33141025463268881</v>
      </c>
      <c r="O252" s="138"/>
      <c r="P252" s="5"/>
      <c r="Q252" s="5"/>
      <c r="R252" s="5"/>
    </row>
    <row r="253" spans="2:18" x14ac:dyDescent="0.2">
      <c r="B253" s="36"/>
      <c r="C253" s="23" t="s">
        <v>15</v>
      </c>
      <c r="D253" s="140">
        <f t="shared" ref="D253:D271" si="24">D252*((E253/100)+1)</f>
        <v>7732.35422299111</v>
      </c>
      <c r="E253" s="141">
        <f t="shared" ref="E253:E300" si="25">AVERAGE(E241:E252)</f>
        <v>0.33141025701086979</v>
      </c>
      <c r="F253" s="106">
        <f t="shared" si="20"/>
        <v>0.99752939155051124</v>
      </c>
      <c r="G253" s="106">
        <f t="shared" si="21"/>
        <v>2.005009426627935</v>
      </c>
      <c r="H253" s="106">
        <f>IF(E253="","",(((D253/VLOOKUP("dez",$C$247:D252,2,FALSE)-1)*100)))</f>
        <v>2.005009426627935</v>
      </c>
      <c r="I253" s="107">
        <f t="shared" si="22"/>
        <v>4.0502195047014133</v>
      </c>
      <c r="J253" s="137"/>
      <c r="K253" s="40">
        <v>45808</v>
      </c>
      <c r="L253" s="41">
        <f t="shared" si="23"/>
        <v>0.33141025546962827</v>
      </c>
      <c r="M253" s="78">
        <f t="shared" si="19"/>
        <v>0.33141025546962827</v>
      </c>
      <c r="O253" s="138"/>
      <c r="P253" s="5"/>
      <c r="Q253" s="5"/>
      <c r="R253" s="5"/>
    </row>
    <row r="254" spans="2:18" x14ac:dyDescent="0.2">
      <c r="B254" s="36"/>
      <c r="C254" s="23" t="s">
        <v>16</v>
      </c>
      <c r="D254" s="140">
        <f t="shared" si="24"/>
        <v>7757.9800380159259</v>
      </c>
      <c r="E254" s="141">
        <f t="shared" si="25"/>
        <v>0.33141025728776446</v>
      </c>
      <c r="F254" s="106">
        <f t="shared" si="20"/>
        <v>0.99752939338071389</v>
      </c>
      <c r="G254" s="106">
        <f t="shared" si="21"/>
        <v>2.0050094292603404</v>
      </c>
      <c r="H254" s="106">
        <f>IF(E254="","",(((D254/VLOOKUP("dez",$C$247:D253,2,FALSE)-1)*100)))</f>
        <v>2.3430644908151388</v>
      </c>
      <c r="I254" s="107">
        <f t="shared" si="22"/>
        <v>4.0502195037489308</v>
      </c>
      <c r="J254" s="137"/>
      <c r="K254" s="40">
        <v>45838</v>
      </c>
      <c r="L254" s="41">
        <f t="shared" si="23"/>
        <v>0.33141025636073035</v>
      </c>
      <c r="M254" s="78">
        <f t="shared" si="19"/>
        <v>0.33141025636073035</v>
      </c>
      <c r="O254" s="138"/>
      <c r="P254" s="5"/>
      <c r="Q254" s="5"/>
      <c r="R254" s="5"/>
    </row>
    <row r="255" spans="2:18" x14ac:dyDescent="0.2">
      <c r="B255" s="36"/>
      <c r="C255" s="23" t="s">
        <v>17</v>
      </c>
      <c r="D255" s="140">
        <f t="shared" si="24"/>
        <v>7783.6907796143096</v>
      </c>
      <c r="E255" s="141">
        <f t="shared" si="25"/>
        <v>0.33141025721122708</v>
      </c>
      <c r="F255" s="106">
        <f t="shared" si="20"/>
        <v>0.99752939423685127</v>
      </c>
      <c r="G255" s="106">
        <f t="shared" si="21"/>
        <v>2.0050094322663803</v>
      </c>
      <c r="H255" s="106">
        <f>IF(E255="","",(((D255/VLOOKUP("dez",$C$247:D254,2,FALSE)-1)*100)))</f>
        <v>2.6822399040819844</v>
      </c>
      <c r="I255" s="107">
        <f t="shared" si="22"/>
        <v>4.0502194999251895</v>
      </c>
      <c r="J255" s="137"/>
      <c r="K255" s="40">
        <v>45869</v>
      </c>
      <c r="L255" s="41">
        <f t="shared" si="23"/>
        <v>0.33141025701086979</v>
      </c>
      <c r="M255" s="78">
        <f t="shared" ref="M255:M271" si="26">AVERAGE(L243:L254)</f>
        <v>0.33141025701086979</v>
      </c>
      <c r="O255" s="138"/>
      <c r="P255" s="5"/>
      <c r="Q255" s="5"/>
      <c r="R255" s="5"/>
    </row>
    <row r="256" spans="2:18" x14ac:dyDescent="0.2">
      <c r="B256" s="19"/>
      <c r="C256" s="35" t="s">
        <v>18</v>
      </c>
      <c r="D256" s="140">
        <f t="shared" si="24"/>
        <v>7809.4867292236404</v>
      </c>
      <c r="E256" s="141">
        <f t="shared" si="25"/>
        <v>0.33141025690397102</v>
      </c>
      <c r="F256" s="106">
        <f t="shared" si="20"/>
        <v>0.99752939412924846</v>
      </c>
      <c r="G256" s="106">
        <f t="shared" si="21"/>
        <v>2.0050094345755554</v>
      </c>
      <c r="H256" s="106">
        <f>IF(E256="","",(((D256/VLOOKUP("dez",$C$247:D255,2,FALSE)-1)*100)))</f>
        <v>3.0225393791428745</v>
      </c>
      <c r="I256" s="107">
        <f t="shared" si="22"/>
        <v>4.0502194952246162</v>
      </c>
      <c r="J256" s="137"/>
      <c r="K256" s="40">
        <v>45900</v>
      </c>
      <c r="L256" s="41">
        <f t="shared" si="23"/>
        <v>0.33141025728776446</v>
      </c>
      <c r="M256" s="78">
        <f t="shared" si="26"/>
        <v>0.33141025728776446</v>
      </c>
      <c r="O256" s="138"/>
      <c r="P256" s="5"/>
      <c r="Q256" s="5"/>
      <c r="R256" s="5"/>
    </row>
    <row r="257" spans="1:18" x14ac:dyDescent="0.2">
      <c r="B257" s="36"/>
      <c r="C257" s="23" t="s">
        <v>19</v>
      </c>
      <c r="D257" s="140">
        <f t="shared" si="24"/>
        <v>7835.3681692263444</v>
      </c>
      <c r="E257" s="141">
        <f t="shared" si="25"/>
        <v>0.33141025652625677</v>
      </c>
      <c r="F257" s="106">
        <f t="shared" si="20"/>
        <v>0.99752939336268387</v>
      </c>
      <c r="G257" s="106">
        <f t="shared" si="21"/>
        <v>2.0050094356498072</v>
      </c>
      <c r="H257" s="106">
        <f>IF(E257="","",(((D257/VLOOKUP("dez",$C$247:D256,2,FALSE)-1)*100)))</f>
        <v>3.3639666411791502</v>
      </c>
      <c r="I257" s="107">
        <f t="shared" si="22"/>
        <v>4.0502194913724088</v>
      </c>
      <c r="J257" s="137"/>
      <c r="K257" s="40">
        <v>45930</v>
      </c>
      <c r="L257" s="41">
        <f t="shared" si="23"/>
        <v>0.33141025721122708</v>
      </c>
      <c r="M257" s="78">
        <f t="shared" si="26"/>
        <v>0.33141025721122708</v>
      </c>
      <c r="O257" s="138"/>
      <c r="P257" s="5"/>
      <c r="Q257" s="5"/>
      <c r="R257" s="5"/>
    </row>
    <row r="258" spans="1:18" x14ac:dyDescent="0.2">
      <c r="B258" s="19"/>
      <c r="C258" s="35" t="s">
        <v>20</v>
      </c>
      <c r="D258" s="140">
        <f t="shared" si="24"/>
        <v>7861.335382951499</v>
      </c>
      <c r="E258" s="141">
        <f t="shared" si="25"/>
        <v>0.33141025621671194</v>
      </c>
      <c r="F258" s="106">
        <f t="shared" si="20"/>
        <v>0.99752939236155136</v>
      </c>
      <c r="G258" s="106">
        <f t="shared" si="21"/>
        <v>2.0050094355033687</v>
      </c>
      <c r="H258" s="106">
        <f>IF(E258="","",(((D258/VLOOKUP("dez",$C$247:D257,2,FALSE)-1)*100)))</f>
        <v>3.7065254278604298</v>
      </c>
      <c r="I258" s="107">
        <f t="shared" si="22"/>
        <v>4.0502194893606402</v>
      </c>
      <c r="J258" s="137"/>
      <c r="K258" s="40">
        <v>45961</v>
      </c>
      <c r="L258" s="41">
        <f t="shared" si="23"/>
        <v>0.33141025690397102</v>
      </c>
      <c r="M258" s="78">
        <f t="shared" si="26"/>
        <v>0.33141025690397102</v>
      </c>
      <c r="O258" s="138"/>
      <c r="P258" s="5"/>
      <c r="Q258" s="5"/>
      <c r="R258" s="5"/>
    </row>
    <row r="259" spans="1:18" x14ac:dyDescent="0.2">
      <c r="B259" s="36"/>
      <c r="C259" s="23" t="s">
        <v>21</v>
      </c>
      <c r="D259" s="140">
        <f t="shared" si="24"/>
        <v>7887.3886546734848</v>
      </c>
      <c r="E259" s="141">
        <f t="shared" si="25"/>
        <v>0.3314102560550572</v>
      </c>
      <c r="F259" s="106">
        <f t="shared" si="20"/>
        <v>0.99752939150699049</v>
      </c>
      <c r="G259" s="106">
        <f t="shared" si="21"/>
        <v>2.0050094345316127</v>
      </c>
      <c r="H259" s="106">
        <f>IF(E259="","",(((D259/VLOOKUP("dez",$C$247:D258,2,FALSE)-1)*100)))</f>
        <v>4.0502194893266896</v>
      </c>
      <c r="I259" s="107">
        <f t="shared" si="22"/>
        <v>4.0502194893266896</v>
      </c>
      <c r="J259" s="137"/>
      <c r="K259" s="40">
        <v>45991</v>
      </c>
      <c r="L259" s="41">
        <f t="shared" si="23"/>
        <v>0.33141025652625677</v>
      </c>
      <c r="M259" s="78">
        <f t="shared" si="26"/>
        <v>0.33141025652625677</v>
      </c>
      <c r="O259" s="138"/>
      <c r="P259" s="5"/>
      <c r="Q259" s="5"/>
      <c r="R259" s="5"/>
    </row>
    <row r="260" spans="1:18" x14ac:dyDescent="0.2">
      <c r="B260" s="36">
        <v>2030</v>
      </c>
      <c r="C260" s="23" t="s">
        <v>10</v>
      </c>
      <c r="D260" s="140">
        <f t="shared" si="24"/>
        <v>7913.5282696097802</v>
      </c>
      <c r="E260" s="141">
        <f t="shared" si="25"/>
        <v>0.33141025605232938</v>
      </c>
      <c r="F260" s="106">
        <f t="shared" si="20"/>
        <v>0.99752939102992766</v>
      </c>
      <c r="G260" s="106">
        <f t="shared" si="21"/>
        <v>2.0050094332755508</v>
      </c>
      <c r="H260" s="106">
        <f>IF(E260="","",(((D260/VLOOKUP("dez",$C$259:D259,2,FALSE)-1)*100)))</f>
        <v>0.33141025605232244</v>
      </c>
      <c r="I260" s="107">
        <f t="shared" si="22"/>
        <v>4.0502194907306555</v>
      </c>
      <c r="J260" s="137"/>
      <c r="K260" s="40">
        <v>46022</v>
      </c>
      <c r="L260" s="41">
        <f t="shared" si="23"/>
        <v>0.33141025621671194</v>
      </c>
      <c r="M260" s="78">
        <f t="shared" si="26"/>
        <v>0.33141025621671194</v>
      </c>
      <c r="O260" s="138"/>
      <c r="P260" s="5"/>
      <c r="Q260" s="5"/>
      <c r="R260" s="5"/>
    </row>
    <row r="261" spans="1:18" x14ac:dyDescent="0.2">
      <c r="B261" s="36"/>
      <c r="C261" s="23" t="s">
        <v>11</v>
      </c>
      <c r="D261" s="140">
        <f t="shared" si="24"/>
        <v>7939.7545139197946</v>
      </c>
      <c r="E261" s="141">
        <f t="shared" si="25"/>
        <v>0.33141025616514508</v>
      </c>
      <c r="F261" s="106">
        <f t="shared" si="20"/>
        <v>0.99752939097801363</v>
      </c>
      <c r="G261" s="106">
        <f t="shared" si="21"/>
        <v>2.0050094322120238</v>
      </c>
      <c r="H261" s="106">
        <f>IF(E261="","",(((D261/VLOOKUP("dez",$C$259:D260,2,FALSE)-1)*100)))</f>
        <v>0.66391883979599609</v>
      </c>
      <c r="I261" s="107">
        <f t="shared" si="22"/>
        <v>4.0502194927120927</v>
      </c>
      <c r="J261" s="137"/>
      <c r="K261" s="40">
        <v>46053</v>
      </c>
      <c r="L261" s="41">
        <f t="shared" si="23"/>
        <v>0.3314102560550572</v>
      </c>
      <c r="M261" s="78">
        <f t="shared" si="26"/>
        <v>0.3314102560550572</v>
      </c>
      <c r="O261" s="138"/>
      <c r="P261" s="5"/>
      <c r="Q261" s="5"/>
      <c r="R261" s="5"/>
    </row>
    <row r="262" spans="1:18" x14ac:dyDescent="0.2">
      <c r="B262" s="36"/>
      <c r="C262" s="23" t="s">
        <v>12</v>
      </c>
      <c r="D262" s="140">
        <f t="shared" si="24"/>
        <v>7966.0676747059024</v>
      </c>
      <c r="E262" s="141">
        <f t="shared" si="25"/>
        <v>0.33141025632436499</v>
      </c>
      <c r="F262" s="106">
        <f t="shared" si="20"/>
        <v>0.99752939124913009</v>
      </c>
      <c r="G262" s="106">
        <f t="shared" si="21"/>
        <v>2.0050094316227618</v>
      </c>
      <c r="H262" s="106">
        <f>IF(E262="","",(((D262/VLOOKUP("dez",$C$259:D261,2,FALSE)-1)*100)))</f>
        <v>0.99752939124913009</v>
      </c>
      <c r="I262" s="107">
        <f t="shared" si="22"/>
        <v>4.0502194944664893</v>
      </c>
      <c r="J262" s="137"/>
      <c r="K262" s="40">
        <v>46081</v>
      </c>
      <c r="L262" s="41">
        <f t="shared" si="23"/>
        <v>0.33141025605232938</v>
      </c>
      <c r="M262" s="78">
        <f t="shared" si="26"/>
        <v>0.33141025605232938</v>
      </c>
      <c r="O262" s="138"/>
      <c r="P262" s="5"/>
      <c r="Q262" s="5"/>
      <c r="R262" s="5"/>
    </row>
    <row r="263" spans="1:18" x14ac:dyDescent="0.2">
      <c r="B263" s="36"/>
      <c r="C263" s="23" t="s">
        <v>13</v>
      </c>
      <c r="D263" s="140">
        <f t="shared" si="24"/>
        <v>7992.4680400168481</v>
      </c>
      <c r="E263" s="141">
        <f t="shared" si="25"/>
        <v>0.331410256465338</v>
      </c>
      <c r="F263" s="106">
        <f t="shared" si="20"/>
        <v>0.99752939166488641</v>
      </c>
      <c r="G263" s="106">
        <f t="shared" si="21"/>
        <v>2.0050094315608336</v>
      </c>
      <c r="H263" s="106">
        <f>IF(E263="","",(((D263/VLOOKUP("dez",$C$259:D262,2,FALSE)-1)*100)))</f>
        <v>1.3322455624283247</v>
      </c>
      <c r="I263" s="107">
        <f t="shared" si="22"/>
        <v>4.0502194954991078</v>
      </c>
      <c r="J263" s="137"/>
      <c r="K263" s="40">
        <v>46112</v>
      </c>
      <c r="L263" s="41">
        <f t="shared" si="23"/>
        <v>0.33141025616514508</v>
      </c>
      <c r="M263" s="78">
        <f t="shared" si="26"/>
        <v>0.33141025616514508</v>
      </c>
      <c r="O263" s="138"/>
    </row>
    <row r="264" spans="1:18" x14ac:dyDescent="0.2">
      <c r="B264" s="36"/>
      <c r="C264" s="23" t="s">
        <v>14</v>
      </c>
      <c r="D264" s="140">
        <f t="shared" si="24"/>
        <v>8018.9558988528088</v>
      </c>
      <c r="E264" s="141">
        <f t="shared" si="25"/>
        <v>0.3314102565483138</v>
      </c>
      <c r="F264" s="106">
        <f t="shared" si="20"/>
        <v>0.99752939205060009</v>
      </c>
      <c r="G264" s="106">
        <f t="shared" si="21"/>
        <v>2.0050094318979639</v>
      </c>
      <c r="H264" s="106">
        <f>IF(E264="","",(((D264/VLOOKUP("dez",$C$259:D263,2,FALSE)-1)*100)))</f>
        <v>1.668071017412931</v>
      </c>
      <c r="I264" s="107">
        <f t="shared" si="22"/>
        <v>4.0502194956936188</v>
      </c>
      <c r="J264" s="137"/>
      <c r="K264" s="40">
        <v>46142</v>
      </c>
      <c r="L264" s="41">
        <f t="shared" si="23"/>
        <v>0.33141025632436499</v>
      </c>
      <c r="M264" s="78">
        <f t="shared" si="26"/>
        <v>0.33141025632436499</v>
      </c>
      <c r="O264" s="138"/>
    </row>
    <row r="265" spans="1:18" x14ac:dyDescent="0.2">
      <c r="B265" s="36"/>
      <c r="C265" s="23" t="s">
        <v>15</v>
      </c>
      <c r="D265" s="140">
        <f t="shared" si="24"/>
        <v>8045.5315411709453</v>
      </c>
      <c r="E265" s="141">
        <f t="shared" si="25"/>
        <v>0.33141025656394579</v>
      </c>
      <c r="F265" s="106">
        <f t="shared" si="20"/>
        <v>0.99752939229174054</v>
      </c>
      <c r="G265" s="106">
        <f t="shared" si="21"/>
        <v>2.0050094324153278</v>
      </c>
      <c r="H265" s="106">
        <f>IF(E265="","",(((D265/VLOOKUP("dez",$C$259:D264,2,FALSE)-1)*100)))</f>
        <v>2.0050094324153278</v>
      </c>
      <c r="I265" s="107">
        <f t="shared" si="22"/>
        <v>4.0502194952301229</v>
      </c>
      <c r="J265" s="137"/>
      <c r="K265" s="40">
        <v>46173</v>
      </c>
      <c r="L265" s="41">
        <f t="shared" si="23"/>
        <v>0.331410256465338</v>
      </c>
      <c r="M265" s="78">
        <f t="shared" si="26"/>
        <v>0.331410256465338</v>
      </c>
      <c r="O265" s="138"/>
    </row>
    <row r="266" spans="1:18" x14ac:dyDescent="0.2">
      <c r="B266" s="36"/>
      <c r="C266" s="23" t="s">
        <v>16</v>
      </c>
      <c r="D266" s="140">
        <f t="shared" si="24"/>
        <v>8072.1952578904766</v>
      </c>
      <c r="E266" s="141">
        <f t="shared" si="25"/>
        <v>0.33141025652670209</v>
      </c>
      <c r="F266" s="106">
        <f t="shared" si="20"/>
        <v>0.99752939235351334</v>
      </c>
      <c r="G266" s="106">
        <f t="shared" si="21"/>
        <v>2.0050094328976309</v>
      </c>
      <c r="H266" s="106">
        <f>IF(E266="","",(((D266/VLOOKUP("dez",$C$259:D265,2,FALSE)-1)*100)))</f>
        <v>2.3430644958453817</v>
      </c>
      <c r="I266" s="107">
        <f t="shared" si="22"/>
        <v>4.0502194944408432</v>
      </c>
      <c r="J266" s="137"/>
      <c r="K266" s="40">
        <v>46203</v>
      </c>
      <c r="L266" s="41">
        <f t="shared" si="23"/>
        <v>0.3314102565483138</v>
      </c>
      <c r="M266" s="78">
        <f t="shared" si="26"/>
        <v>0.3314102565483138</v>
      </c>
      <c r="O266" s="138"/>
    </row>
    <row r="267" spans="1:18" x14ac:dyDescent="0.2">
      <c r="B267" s="36"/>
      <c r="C267" s="23" t="s">
        <v>17</v>
      </c>
      <c r="D267" s="140">
        <f t="shared" si="24"/>
        <v>8098.9473408968679</v>
      </c>
      <c r="E267" s="141">
        <f t="shared" si="25"/>
        <v>0.33141025646328021</v>
      </c>
      <c r="F267" s="106">
        <f t="shared" si="20"/>
        <v>0.99752939226791515</v>
      </c>
      <c r="G267" s="106">
        <f t="shared" si="21"/>
        <v>2.005009433200744</v>
      </c>
      <c r="H267" s="106">
        <f>IF(E267="","",(((D267/VLOOKUP("dez",$C$259:D266,2,FALSE)-1)*100)))</f>
        <v>2.6822399083634485</v>
      </c>
      <c r="I267" s="107">
        <f t="shared" si="22"/>
        <v>4.0502194936651748</v>
      </c>
      <c r="J267" s="137"/>
      <c r="K267" s="40">
        <v>46234</v>
      </c>
      <c r="L267" s="41">
        <f t="shared" si="23"/>
        <v>0.33141025656394579</v>
      </c>
      <c r="M267" s="78">
        <f t="shared" si="26"/>
        <v>0.33141025656394579</v>
      </c>
      <c r="O267" s="138"/>
    </row>
    <row r="268" spans="1:18" x14ac:dyDescent="0.2">
      <c r="B268" s="19"/>
      <c r="C268" s="35" t="s">
        <v>18</v>
      </c>
      <c r="D268" s="140">
        <f t="shared" si="24"/>
        <v>8125.7880830451122</v>
      </c>
      <c r="E268" s="141">
        <f t="shared" si="25"/>
        <v>0.33141025640095134</v>
      </c>
      <c r="F268" s="106">
        <f t="shared" si="20"/>
        <v>0.9975293921038686</v>
      </c>
      <c r="G268" s="106">
        <f t="shared" si="21"/>
        <v>2.0050094332785928</v>
      </c>
      <c r="H268" s="106">
        <f>IF(E268="","",(((D268/VLOOKUP("dez",$C$259:D267,2,FALSE)-1)*100)))</f>
        <v>3.0225393829219849</v>
      </c>
      <c r="I268" s="107">
        <f t="shared" si="22"/>
        <v>4.0502194931435254</v>
      </c>
      <c r="J268" s="137"/>
      <c r="K268" s="40">
        <v>46265</v>
      </c>
      <c r="L268" s="41">
        <f t="shared" si="23"/>
        <v>0.33141025652670209</v>
      </c>
      <c r="M268" s="78">
        <f t="shared" si="26"/>
        <v>0.33141025652670209</v>
      </c>
      <c r="O268" s="138"/>
    </row>
    <row r="269" spans="1:18" x14ac:dyDescent="0.2">
      <c r="B269" s="36"/>
      <c r="C269" s="23" t="s">
        <v>19</v>
      </c>
      <c r="D269" s="140">
        <f t="shared" si="24"/>
        <v>8152.7177781623241</v>
      </c>
      <c r="E269" s="141">
        <f t="shared" si="25"/>
        <v>0.33141025635903304</v>
      </c>
      <c r="F269" s="106">
        <f t="shared" si="20"/>
        <v>0.99752939193509249</v>
      </c>
      <c r="G269" s="106">
        <f t="shared" si="21"/>
        <v>2.0050094331705015</v>
      </c>
      <c r="H269" s="106">
        <f>IF(E269="","",(((D269/VLOOKUP("dez",$C$259:D268,2,FALSE)-1)*100)))</f>
        <v>3.3639666447985217</v>
      </c>
      <c r="I269" s="107">
        <f t="shared" si="22"/>
        <v>4.0502194929700863</v>
      </c>
      <c r="J269" s="137"/>
      <c r="K269" s="40">
        <v>46295</v>
      </c>
      <c r="L269" s="41">
        <f t="shared" si="23"/>
        <v>0.33141025646328021</v>
      </c>
      <c r="M269" s="78">
        <f t="shared" si="26"/>
        <v>0.33141025646328021</v>
      </c>
      <c r="O269" s="138"/>
    </row>
    <row r="270" spans="1:18" x14ac:dyDescent="0.2">
      <c r="B270" s="19"/>
      <c r="C270" s="35" t="s">
        <v>20</v>
      </c>
      <c r="D270" s="140">
        <f t="shared" si="24"/>
        <v>8179.7367210500233</v>
      </c>
      <c r="E270" s="141">
        <f t="shared" si="25"/>
        <v>0.33141025634509774</v>
      </c>
      <c r="F270" s="106">
        <f t="shared" si="20"/>
        <v>0.99752939181609879</v>
      </c>
      <c r="G270" s="106">
        <f t="shared" si="21"/>
        <v>2.0050094329639112</v>
      </c>
      <c r="H270" s="106">
        <f>IF(E270="","",(((D270/VLOOKUP("dez",$C$259:D269,2,FALSE)-1)*100)))</f>
        <v>3.7065254316245078</v>
      </c>
      <c r="I270" s="107">
        <f t="shared" si="22"/>
        <v>4.0502194931032465</v>
      </c>
      <c r="J270" s="137"/>
      <c r="K270" s="40">
        <v>46326</v>
      </c>
      <c r="L270" s="41">
        <f t="shared" si="23"/>
        <v>0.33141025640095134</v>
      </c>
      <c r="M270" s="78">
        <f t="shared" si="26"/>
        <v>0.33141025640095134</v>
      </c>
      <c r="O270" s="138"/>
    </row>
    <row r="271" spans="1:18" x14ac:dyDescent="0.2">
      <c r="B271" s="36"/>
      <c r="C271" s="23" t="s">
        <v>21</v>
      </c>
      <c r="D271" s="140">
        <f t="shared" si="24"/>
        <v>8206.8452074864836</v>
      </c>
      <c r="E271" s="141">
        <f t="shared" si="25"/>
        <v>0.33141025635579657</v>
      </c>
      <c r="F271" s="106">
        <f t="shared" si="20"/>
        <v>0.99752939177064626</v>
      </c>
      <c r="G271" s="106">
        <f t="shared" si="21"/>
        <v>2.0050094327523027</v>
      </c>
      <c r="H271" s="106">
        <f>IF(E271="","",(((D271/VLOOKUP("dez",$C$259:D270,2,FALSE)-1)*100)))</f>
        <v>4.0502194934151303</v>
      </c>
      <c r="I271" s="107">
        <f t="shared" si="22"/>
        <v>4.0502194934151303</v>
      </c>
      <c r="J271" s="137"/>
      <c r="K271" s="40">
        <v>46356</v>
      </c>
      <c r="L271" s="41">
        <f t="shared" si="23"/>
        <v>0.33141025635903304</v>
      </c>
      <c r="M271" s="78">
        <f t="shared" si="26"/>
        <v>0.33141025635903304</v>
      </c>
      <c r="O271" s="138"/>
    </row>
    <row r="272" spans="1:18" x14ac:dyDescent="0.2">
      <c r="A272" s="5"/>
      <c r="B272" s="36">
        <v>2031</v>
      </c>
      <c r="C272" s="23" t="s">
        <v>10</v>
      </c>
      <c r="D272" s="140">
        <f t="shared" ref="D272:D300" si="27">D271*((E272/100)+1)</f>
        <v>8234.0435342293949</v>
      </c>
      <c r="E272" s="141">
        <f t="shared" si="25"/>
        <v>0.33141025638085819</v>
      </c>
      <c r="F272" s="106">
        <f t="shared" ref="F272:F300" si="28">IF(E272="","",(((D272/D269)-1)*100))</f>
        <v>0.99752939179260647</v>
      </c>
      <c r="G272" s="106">
        <f t="shared" ref="G272:G300" si="29">IF(E272="","",(((D272/D266)-1)*100))</f>
        <v>2.0050094326040213</v>
      </c>
      <c r="H272" s="106">
        <f>IF(E272="","",(((D272/VLOOKUP("dez",$C$259:D271,2,FALSE)-1)*100)))</f>
        <v>4.3950525926031103</v>
      </c>
      <c r="I272" s="107">
        <f t="shared" ref="I272:I300" si="30">IF(E272="","",(((D272/D260)-1)*100))</f>
        <v>4.0502194937558356</v>
      </c>
    </row>
    <row r="273" spans="1:9" x14ac:dyDescent="0.2">
      <c r="A273" s="5"/>
      <c r="B273" s="36"/>
      <c r="C273" s="23" t="s">
        <v>11</v>
      </c>
      <c r="D273" s="140">
        <f t="shared" si="27"/>
        <v>8261.3319990189502</v>
      </c>
      <c r="E273" s="141">
        <f t="shared" si="25"/>
        <v>0.33141025640823557</v>
      </c>
      <c r="F273" s="106">
        <f t="shared" si="28"/>
        <v>0.99752939185617784</v>
      </c>
      <c r="G273" s="106">
        <f t="shared" si="29"/>
        <v>2.0050094325480661</v>
      </c>
      <c r="H273" s="106">
        <f>IF(E273="","",(((D273/VLOOKUP("dez",$C$259:D272,2,FALSE)-1)*100)))</f>
        <v>4.74102850407776</v>
      </c>
      <c r="I273" s="107">
        <f t="shared" si="30"/>
        <v>4.050219494007945</v>
      </c>
    </row>
    <row r="274" spans="1:9" x14ac:dyDescent="0.2">
      <c r="A274" s="5"/>
      <c r="B274" s="36"/>
      <c r="C274" s="23" t="s">
        <v>12</v>
      </c>
      <c r="D274" s="140">
        <f t="shared" si="27"/>
        <v>8288.7109005813072</v>
      </c>
      <c r="E274" s="141">
        <f t="shared" si="25"/>
        <v>0.33141025642849314</v>
      </c>
      <c r="F274" s="106">
        <f t="shared" si="28"/>
        <v>0.99752939192936374</v>
      </c>
      <c r="G274" s="106">
        <f t="shared" si="29"/>
        <v>2.0050094325760437</v>
      </c>
      <c r="H274" s="106">
        <f>IF(E274="","",(((D274/VLOOKUP("dez",$C$259:D273,2,FALSE)-1)*100)))</f>
        <v>5.0881510152289477</v>
      </c>
      <c r="I274" s="107">
        <f t="shared" si="30"/>
        <v>4.0502194941159253</v>
      </c>
    </row>
    <row r="275" spans="1:9" x14ac:dyDescent="0.2">
      <c r="A275" s="5"/>
      <c r="B275" s="36"/>
      <c r="C275" s="23" t="s">
        <v>13</v>
      </c>
      <c r="D275" s="140">
        <f t="shared" si="27"/>
        <v>8316.1805386322594</v>
      </c>
      <c r="E275" s="141">
        <f t="shared" si="25"/>
        <v>0.33141025643717043</v>
      </c>
      <c r="F275" s="106">
        <f t="shared" si="28"/>
        <v>0.99752939198605173</v>
      </c>
      <c r="G275" s="106">
        <f t="shared" si="29"/>
        <v>2.0050094326554913</v>
      </c>
      <c r="H275" s="106">
        <f>IF(E275="","",(((D275/VLOOKUP("dez",$C$259:D274,2,FALSE)-1)*100)))</f>
        <v>5.4364239259936165</v>
      </c>
      <c r="I275" s="107">
        <f t="shared" si="30"/>
        <v>4.0502194940867042</v>
      </c>
    </row>
    <row r="276" spans="1:9" x14ac:dyDescent="0.2">
      <c r="A276" s="5"/>
      <c r="B276" s="36"/>
      <c r="C276" s="23" t="s">
        <v>14</v>
      </c>
      <c r="D276" s="140">
        <f t="shared" si="27"/>
        <v>8343.7412138809232</v>
      </c>
      <c r="E276" s="141">
        <f t="shared" si="25"/>
        <v>0.33141025643482319</v>
      </c>
      <c r="F276" s="106">
        <f t="shared" si="28"/>
        <v>0.9975293920128081</v>
      </c>
      <c r="G276" s="106">
        <f t="shared" si="29"/>
        <v>2.0050094327467072</v>
      </c>
      <c r="H276" s="106">
        <f>IF(E276="","",(((D276/VLOOKUP("dez",$C$259:D275,2,FALSE)-1)*100)))</f>
        <v>5.7858510489024573</v>
      </c>
      <c r="I276" s="107">
        <f t="shared" si="30"/>
        <v>4.0502194939690206</v>
      </c>
    </row>
    <row r="277" spans="1:9" x14ac:dyDescent="0.2">
      <c r="A277" s="5"/>
      <c r="B277" s="36"/>
      <c r="C277" s="23" t="s">
        <v>15</v>
      </c>
      <c r="D277" s="140">
        <f t="shared" si="27"/>
        <v>8371.3932280333138</v>
      </c>
      <c r="E277" s="141">
        <f t="shared" si="25"/>
        <v>0.33141025642536565</v>
      </c>
      <c r="F277" s="106">
        <f t="shared" si="28"/>
        <v>0.99752939200965507</v>
      </c>
      <c r="G277" s="106">
        <f t="shared" si="29"/>
        <v>2.0050094328174506</v>
      </c>
      <c r="H277" s="106">
        <f>IF(E277="","",(((D277/VLOOKUP("dez",$C$259:D276,2,FALSE)-1)*100)))</f>
        <v>6.1364362091253621</v>
      </c>
      <c r="I277" s="107">
        <f t="shared" si="30"/>
        <v>4.0502194938252911</v>
      </c>
    </row>
    <row r="278" spans="1:9" x14ac:dyDescent="0.2">
      <c r="A278" s="5"/>
      <c r="B278" s="36"/>
      <c r="C278" s="23" t="s">
        <v>16</v>
      </c>
      <c r="D278" s="140">
        <f t="shared" si="27"/>
        <v>8399.1368837957471</v>
      </c>
      <c r="E278" s="141">
        <f t="shared" si="25"/>
        <v>0.33141025641381727</v>
      </c>
      <c r="F278" s="106">
        <f t="shared" si="28"/>
        <v>0.99752939198614055</v>
      </c>
      <c r="G278" s="106">
        <f t="shared" si="29"/>
        <v>2.0050094328509349</v>
      </c>
      <c r="H278" s="106">
        <f>IF(E278="","",(((D278/VLOOKUP("dez",$C$259:D277,2,FALSE)-1)*100)))</f>
        <v>6.4881832445145005</v>
      </c>
      <c r="I278" s="107">
        <f t="shared" si="30"/>
        <v>4.0502194937082292</v>
      </c>
    </row>
    <row r="279" spans="1:9" x14ac:dyDescent="0.2">
      <c r="A279" s="5"/>
      <c r="B279" s="36"/>
      <c r="C279" s="23" t="s">
        <v>17</v>
      </c>
      <c r="D279" s="140">
        <f t="shared" si="27"/>
        <v>8426.9724848780934</v>
      </c>
      <c r="E279" s="141">
        <f t="shared" si="25"/>
        <v>0.33141025640441019</v>
      </c>
      <c r="F279" s="106">
        <f t="shared" si="28"/>
        <v>0.9975293919555428</v>
      </c>
      <c r="G279" s="106">
        <f t="shared" si="29"/>
        <v>2.0050094328470713</v>
      </c>
      <c r="H279" s="106">
        <f>IF(E279="","",(((D279/VLOOKUP("dez",$C$259:D278,2,FALSE)-1)*100)))</f>
        <v>6.8410960056455528</v>
      </c>
      <c r="I279" s="107">
        <f t="shared" si="30"/>
        <v>4.0502194936471891</v>
      </c>
    </row>
    <row r="280" spans="1:9" x14ac:dyDescent="0.2">
      <c r="A280" s="5"/>
      <c r="B280" s="36"/>
      <c r="C280" s="23" t="s">
        <v>18</v>
      </c>
      <c r="D280" s="140">
        <f t="shared" si="27"/>
        <v>8454.9003359969447</v>
      </c>
      <c r="E280" s="141">
        <f t="shared" si="25"/>
        <v>0.33141025639950439</v>
      </c>
      <c r="F280" s="106">
        <f t="shared" si="28"/>
        <v>0.99752939192954138</v>
      </c>
      <c r="G280" s="106">
        <f t="shared" si="29"/>
        <v>2.0050094328176282</v>
      </c>
      <c r="H280" s="106">
        <f>IF(E280="","",(((D280/VLOOKUP("dez",$C$259:D279,2,FALSE)-1)*100)))</f>
        <v>7.195178355857923</v>
      </c>
      <c r="I280" s="107">
        <f t="shared" si="30"/>
        <v>4.0502194936457014</v>
      </c>
    </row>
    <row r="281" spans="1:9" x14ac:dyDescent="0.2">
      <c r="A281" s="5"/>
      <c r="B281" s="36"/>
      <c r="C281" s="23" t="s">
        <v>19</v>
      </c>
      <c r="D281" s="140">
        <f t="shared" si="27"/>
        <v>8482.9207428787849</v>
      </c>
      <c r="E281" s="141">
        <f t="shared" si="25"/>
        <v>0.33141025639938376</v>
      </c>
      <c r="F281" s="106">
        <f t="shared" si="28"/>
        <v>0.99752939191501966</v>
      </c>
      <c r="G281" s="106">
        <f t="shared" si="29"/>
        <v>2.0050094327792145</v>
      </c>
      <c r="H281" s="106">
        <f>IF(E281="","",(((D281/VLOOKUP("dez",$C$259:D280,2,FALSE)-1)*100)))</f>
        <v>7.5504341712948619</v>
      </c>
      <c r="I281" s="107">
        <f t="shared" si="30"/>
        <v>4.0502194936875568</v>
      </c>
    </row>
    <row r="282" spans="1:9" x14ac:dyDescent="0.2">
      <c r="A282" s="5"/>
      <c r="B282" s="36"/>
      <c r="C282" s="23" t="s">
        <v>20</v>
      </c>
      <c r="D282" s="140">
        <f t="shared" si="27"/>
        <v>8511.0340122632024</v>
      </c>
      <c r="E282" s="141">
        <f t="shared" si="25"/>
        <v>0.33141025640274635</v>
      </c>
      <c r="F282" s="106">
        <f t="shared" si="28"/>
        <v>0.99752939191333212</v>
      </c>
      <c r="G282" s="106">
        <f t="shared" si="29"/>
        <v>2.0050094327466184</v>
      </c>
      <c r="H282" s="106">
        <f>IF(E282="","",(((D282/VLOOKUP("dez",$C$259:D281,2,FALSE)-1)*100)))</f>
        <v>7.9068673409442125</v>
      </c>
      <c r="I282" s="107">
        <f t="shared" si="30"/>
        <v>4.0502194937473535</v>
      </c>
    </row>
    <row r="283" spans="1:9" x14ac:dyDescent="0.2">
      <c r="A283" s="5"/>
      <c r="B283" s="36"/>
      <c r="C283" s="23" t="s">
        <v>21</v>
      </c>
      <c r="D283" s="140">
        <f t="shared" si="27"/>
        <v>8539.2404519061784</v>
      </c>
      <c r="E283" s="141">
        <f t="shared" si="25"/>
        <v>0.33141025640755034</v>
      </c>
      <c r="F283" s="106">
        <f t="shared" si="28"/>
        <v>0.99752939192143675</v>
      </c>
      <c r="G283" s="106">
        <f t="shared" si="29"/>
        <v>2.0050094327285217</v>
      </c>
      <c r="H283" s="106">
        <f>IF(E283="","",(((D283/VLOOKUP("dez",$C$259:D282,2,FALSE)-1)*100)))</f>
        <v>8.2644817666801984</v>
      </c>
      <c r="I283" s="107">
        <f t="shared" si="30"/>
        <v>4.0502194938010438</v>
      </c>
    </row>
    <row r="284" spans="1:9" x14ac:dyDescent="0.2">
      <c r="A284" s="5"/>
      <c r="B284" s="36">
        <v>2032</v>
      </c>
      <c r="C284" s="23" t="s">
        <v>10</v>
      </c>
      <c r="D284" s="140">
        <f t="shared" si="27"/>
        <v>8567.5403705834651</v>
      </c>
      <c r="E284" s="141">
        <f t="shared" si="25"/>
        <v>0.33141025641186322</v>
      </c>
      <c r="F284" s="106">
        <f t="shared" si="28"/>
        <v>0.99752939193398227</v>
      </c>
      <c r="G284" s="106">
        <f t="shared" si="29"/>
        <v>2.0050094327265233</v>
      </c>
      <c r="H284" s="106">
        <f>IF(E284="","",(((D284/VLOOKUP("dez",$C$259:D283,2,FALSE)-1)*100)))</f>
        <v>8.6232813633061234</v>
      </c>
      <c r="I284" s="107">
        <f t="shared" si="30"/>
        <v>4.0502194938331959</v>
      </c>
    </row>
    <row r="285" spans="1:9" x14ac:dyDescent="0.2">
      <c r="A285" s="5"/>
      <c r="B285" s="36"/>
      <c r="C285" s="23" t="s">
        <v>11</v>
      </c>
      <c r="D285" s="140">
        <f t="shared" si="27"/>
        <v>8595.9340780940274</v>
      </c>
      <c r="E285" s="141">
        <f t="shared" si="25"/>
        <v>0.33141025641444699</v>
      </c>
      <c r="F285" s="106">
        <f t="shared" si="28"/>
        <v>0.99752939194575063</v>
      </c>
      <c r="G285" s="106">
        <f t="shared" si="29"/>
        <v>2.0050094327367152</v>
      </c>
      <c r="H285" s="106">
        <f>IF(E285="","",(((D285/VLOOKUP("dez",$C$259:D284,2,FALSE)-1)*100)))</f>
        <v>8.9832700585980483</v>
      </c>
      <c r="I285" s="107">
        <f t="shared" si="30"/>
        <v>4.0502194938396352</v>
      </c>
    </row>
    <row r="286" spans="1:9" x14ac:dyDescent="0.2">
      <c r="A286" s="5"/>
      <c r="B286" s="36"/>
      <c r="C286" s="23" t="s">
        <v>12</v>
      </c>
      <c r="D286" s="140">
        <f t="shared" si="27"/>
        <v>8624.4218852635004</v>
      </c>
      <c r="E286" s="141">
        <f t="shared" si="25"/>
        <v>0.33141025641496458</v>
      </c>
      <c r="F286" s="106">
        <f t="shared" si="28"/>
        <v>0.99752939195321133</v>
      </c>
      <c r="G286" s="106">
        <f t="shared" si="29"/>
        <v>2.0050094327524359</v>
      </c>
      <c r="H286" s="106">
        <f>IF(E286="","",(((D286/VLOOKUP("dez",$C$259:D285,2,FALSE)-1)*100)))</f>
        <v>9.3444517933486626</v>
      </c>
      <c r="I286" s="107">
        <f t="shared" si="30"/>
        <v>4.0502194938256242</v>
      </c>
    </row>
    <row r="287" spans="1:9" x14ac:dyDescent="0.2">
      <c r="A287" s="5"/>
      <c r="B287" s="36"/>
      <c r="C287" s="23" t="s">
        <v>13</v>
      </c>
      <c r="D287" s="140">
        <f t="shared" si="27"/>
        <v>8653.0041039476637</v>
      </c>
      <c r="E287" s="141">
        <f t="shared" si="25"/>
        <v>0.33141025641383726</v>
      </c>
      <c r="F287" s="106">
        <f t="shared" si="28"/>
        <v>0.99752939195520973</v>
      </c>
      <c r="G287" s="106">
        <f t="shared" si="29"/>
        <v>2.0050094327671353</v>
      </c>
      <c r="H287" s="106">
        <f>IF(E287="","",(((D287/VLOOKUP("dez",$C$259:D286,2,FALSE)-1)*100)))</f>
        <v>9.7068305214113018</v>
      </c>
      <c r="I287" s="107">
        <f t="shared" si="30"/>
        <v>4.0502194938014213</v>
      </c>
    </row>
    <row r="288" spans="1:9" x14ac:dyDescent="0.2">
      <c r="A288" s="5"/>
      <c r="B288" s="36"/>
      <c r="C288" s="23" t="s">
        <v>14</v>
      </c>
      <c r="D288" s="140">
        <f t="shared" si="27"/>
        <v>8681.6810470358887</v>
      </c>
      <c r="E288" s="141">
        <f t="shared" si="25"/>
        <v>0.33141025641189276</v>
      </c>
      <c r="F288" s="106">
        <f t="shared" si="28"/>
        <v>0.99752939195263401</v>
      </c>
      <c r="G288" s="106">
        <f t="shared" si="29"/>
        <v>2.0050094327764167</v>
      </c>
      <c r="H288" s="106">
        <f>IF(E288="","",(((D288/VLOOKUP("dez",$C$259:D287,2,FALSE)-1)*100)))</f>
        <v>10.070410209743685</v>
      </c>
      <c r="I288" s="107">
        <f t="shared" si="30"/>
        <v>4.0502194937776625</v>
      </c>
    </row>
    <row r="289" spans="1:9" x14ac:dyDescent="0.2">
      <c r="A289" s="5"/>
      <c r="B289" s="36"/>
      <c r="C289" s="23" t="s">
        <v>15</v>
      </c>
      <c r="D289" s="140">
        <f t="shared" si="27"/>
        <v>8710.4530284545672</v>
      </c>
      <c r="E289" s="141">
        <f t="shared" si="25"/>
        <v>0.33141025640998184</v>
      </c>
      <c r="F289" s="106">
        <f t="shared" si="28"/>
        <v>0.99752939194761581</v>
      </c>
      <c r="G289" s="106">
        <f t="shared" si="29"/>
        <v>2.0050094327788814</v>
      </c>
      <c r="H289" s="106">
        <f>IF(E289="","",(((D289/VLOOKUP("dez",$C$259:D288,2,FALSE)-1)*100)))</f>
        <v>10.435194838451324</v>
      </c>
      <c r="I289" s="107">
        <f t="shared" si="30"/>
        <v>4.0502194937617197</v>
      </c>
    </row>
    <row r="290" spans="1:9" x14ac:dyDescent="0.2">
      <c r="A290" s="5"/>
      <c r="B290" s="36"/>
      <c r="C290" s="23" t="s">
        <v>16</v>
      </c>
      <c r="D290" s="140">
        <f t="shared" si="27"/>
        <v>8739.3203631705273</v>
      </c>
      <c r="E290" s="141">
        <f t="shared" si="25"/>
        <v>0.33141025640869987</v>
      </c>
      <c r="F290" s="106">
        <f t="shared" si="28"/>
        <v>0.99752939194244217</v>
      </c>
      <c r="G290" s="106">
        <f t="shared" si="29"/>
        <v>2.0050094327756618</v>
      </c>
      <c r="H290" s="106">
        <f>IF(E290="","",(((D290/VLOOKUP("dez",$C$259:D289,2,FALSE)-1)*100)))</f>
        <v>10.801188400830863</v>
      </c>
      <c r="I290" s="107">
        <f t="shared" si="30"/>
        <v>4.0502194937564129</v>
      </c>
    </row>
    <row r="291" spans="1:9" x14ac:dyDescent="0.2">
      <c r="A291" s="5"/>
      <c r="B291" s="36"/>
      <c r="C291" s="23" t="s">
        <v>17</v>
      </c>
      <c r="D291" s="140">
        <f t="shared" si="27"/>
        <v>8768.2833671944518</v>
      </c>
      <c r="E291" s="141">
        <f t="shared" si="25"/>
        <v>0.33141025640827343</v>
      </c>
      <c r="F291" s="106">
        <f t="shared" si="28"/>
        <v>0.99752939193880064</v>
      </c>
      <c r="G291" s="106">
        <f t="shared" si="29"/>
        <v>2.0050094327694001</v>
      </c>
      <c r="H291" s="106">
        <f>IF(E291="","",(((D291/VLOOKUP("dez",$C$259:D290,2,FALSE)-1)*100)))</f>
        <v>11.168394903413482</v>
      </c>
      <c r="I291" s="107">
        <f t="shared" si="30"/>
        <v>4.0502194937604097</v>
      </c>
    </row>
    <row r="292" spans="1:9" x14ac:dyDescent="0.2">
      <c r="A292" s="5"/>
      <c r="B292" s="36"/>
      <c r="C292" s="23" t="s">
        <v>18</v>
      </c>
      <c r="D292" s="140">
        <f t="shared" si="27"/>
        <v>8797.3423575843026</v>
      </c>
      <c r="E292" s="141">
        <f t="shared" si="25"/>
        <v>0.33141025640859539</v>
      </c>
      <c r="F292" s="106">
        <f t="shared" si="28"/>
        <v>0.99752939193740175</v>
      </c>
      <c r="G292" s="106">
        <f t="shared" si="29"/>
        <v>2.0050094327629164</v>
      </c>
      <c r="H292" s="106">
        <f>IF(E292="","",(((D292/VLOOKUP("dez",$C$259:D291,2,FALSE)-1)*100)))</f>
        <v>11.536818366008195</v>
      </c>
      <c r="I292" s="107">
        <f t="shared" si="30"/>
        <v>4.0502194937698244</v>
      </c>
    </row>
    <row r="293" spans="1:9" x14ac:dyDescent="0.2">
      <c r="A293" s="5"/>
      <c r="B293" s="36"/>
      <c r="C293" s="23" t="s">
        <v>19</v>
      </c>
      <c r="D293" s="140">
        <f t="shared" si="27"/>
        <v>8826.4976524487811</v>
      </c>
      <c r="E293" s="141">
        <f t="shared" si="25"/>
        <v>0.33141025640935295</v>
      </c>
      <c r="F293" s="106">
        <f t="shared" si="28"/>
        <v>0.99752939193806789</v>
      </c>
      <c r="G293" s="106">
        <f t="shared" si="29"/>
        <v>2.0050094327583423</v>
      </c>
      <c r="H293" s="106">
        <f>IF(E293="","",(((D293/VLOOKUP("dez",$C$259:D292,2,FALSE)-1)*100)))</f>
        <v>11.906462821745812</v>
      </c>
      <c r="I293" s="107">
        <f t="shared" si="30"/>
        <v>4.0502194937801494</v>
      </c>
    </row>
    <row r="294" spans="1:9" x14ac:dyDescent="0.2">
      <c r="A294" s="5"/>
      <c r="B294" s="36"/>
      <c r="C294" s="23" t="s">
        <v>20</v>
      </c>
      <c r="D294" s="140">
        <f t="shared" si="27"/>
        <v>8855.7495709508003</v>
      </c>
      <c r="E294" s="141">
        <f t="shared" si="25"/>
        <v>0.33141025641018368</v>
      </c>
      <c r="F294" s="106">
        <f t="shared" si="28"/>
        <v>0.99752939193997747</v>
      </c>
      <c r="G294" s="106">
        <f t="shared" si="29"/>
        <v>2.0050094327566104</v>
      </c>
      <c r="H294" s="106">
        <f>IF(E294="","",(((D294/VLOOKUP("dez",$C$259:D293,2,FALSE)-1)*100)))</f>
        <v>12.277332317122935</v>
      </c>
      <c r="I294" s="107">
        <f t="shared" si="30"/>
        <v>4.0502194937878544</v>
      </c>
    </row>
    <row r="295" spans="1:9" x14ac:dyDescent="0.2">
      <c r="A295" s="5"/>
      <c r="B295" s="36"/>
      <c r="C295" s="23" t="s">
        <v>21</v>
      </c>
      <c r="D295" s="140">
        <f t="shared" si="27"/>
        <v>8885.0984333109882</v>
      </c>
      <c r="E295" s="141">
        <f t="shared" si="25"/>
        <v>0.33141025641080352</v>
      </c>
      <c r="F295" s="106">
        <f t="shared" si="28"/>
        <v>0.99752939194222012</v>
      </c>
      <c r="G295" s="106">
        <f t="shared" si="29"/>
        <v>2.0050094327574541</v>
      </c>
      <c r="H295" s="106">
        <f>IF(E295="","",(((D295/VLOOKUP("dez",$C$259:D294,2,FALSE)-1)*100)))</f>
        <v>12.649430912046334</v>
      </c>
      <c r="I295" s="107">
        <f t="shared" si="30"/>
        <v>4.0502194937912295</v>
      </c>
    </row>
    <row r="296" spans="1:9" x14ac:dyDescent="0.2">
      <c r="A296" s="5"/>
      <c r="B296" s="36">
        <v>2033</v>
      </c>
      <c r="C296" s="23" t="s">
        <v>10</v>
      </c>
      <c r="D296" s="140">
        <f t="shared" si="27"/>
        <v>8914.5445608112004</v>
      </c>
      <c r="E296" s="141">
        <f t="shared" si="25"/>
        <v>0.33141025641107463</v>
      </c>
      <c r="F296" s="106">
        <f t="shared" si="28"/>
        <v>0.99752939194395207</v>
      </c>
      <c r="G296" s="106">
        <f t="shared" si="29"/>
        <v>2.0050094327598744</v>
      </c>
      <c r="H296" s="106">
        <f>IF(E296="","",(((D296/VLOOKUP("dez",$C$259:D295,2,FALSE)-1)*100)))</f>
        <v>13.022762679877564</v>
      </c>
      <c r="I296" s="107">
        <f t="shared" si="30"/>
        <v>4.0502194937904079</v>
      </c>
    </row>
    <row r="297" spans="1:9" x14ac:dyDescent="0.2">
      <c r="A297" s="5"/>
      <c r="B297" s="36"/>
      <c r="C297" s="23" t="s">
        <v>11</v>
      </c>
      <c r="D297" s="140">
        <f t="shared" si="27"/>
        <v>8944.088275798058</v>
      </c>
      <c r="E297" s="141">
        <f t="shared" si="25"/>
        <v>0.33141025641100891</v>
      </c>
      <c r="F297" s="106">
        <f t="shared" si="28"/>
        <v>0.99752939194477364</v>
      </c>
      <c r="G297" s="106">
        <f t="shared" si="29"/>
        <v>2.0050094327626278</v>
      </c>
      <c r="H297" s="106">
        <f>IF(E297="","",(((D297/VLOOKUP("dez",$C$259:D296,2,FALSE)-1)*100)))</f>
        <v>13.397331707477743</v>
      </c>
      <c r="I297" s="107">
        <f t="shared" si="30"/>
        <v>4.050219493786833</v>
      </c>
    </row>
    <row r="298" spans="1:9" x14ac:dyDescent="0.2">
      <c r="A298" s="5"/>
      <c r="B298" s="36"/>
      <c r="C298" s="23" t="s">
        <v>12</v>
      </c>
      <c r="D298" s="140">
        <f t="shared" si="27"/>
        <v>8973.7299016864818</v>
      </c>
      <c r="E298" s="141">
        <f t="shared" si="25"/>
        <v>0.33141025641072241</v>
      </c>
      <c r="F298" s="106">
        <f t="shared" si="28"/>
        <v>0.99752939194468482</v>
      </c>
      <c r="G298" s="106">
        <f t="shared" si="29"/>
        <v>2.0050094327648038</v>
      </c>
      <c r="H298" s="106">
        <f>IF(E298="","",(((D298/VLOOKUP("dez",$C$259:D297,2,FALSE)-1)*100)))</f>
        <v>13.773142095252421</v>
      </c>
      <c r="I298" s="107">
        <f t="shared" si="30"/>
        <v>4.0502194937824365</v>
      </c>
    </row>
    <row r="299" spans="1:9" x14ac:dyDescent="0.2">
      <c r="A299" s="5"/>
      <c r="B299" s="36"/>
      <c r="C299" s="23" t="s">
        <v>13</v>
      </c>
      <c r="D299" s="140">
        <f t="shared" si="27"/>
        <v>9003.4697629632356</v>
      </c>
      <c r="E299" s="141">
        <f t="shared" si="25"/>
        <v>0.33141025641036892</v>
      </c>
      <c r="F299" s="106">
        <f t="shared" si="28"/>
        <v>0.99752939194397428</v>
      </c>
      <c r="G299" s="106">
        <f t="shared" si="29"/>
        <v>2.0050094327658474</v>
      </c>
      <c r="H299" s="106">
        <f>IF(E299="","",(((D299/VLOOKUP("dez",$C$259:D298,2,FALSE)-1)*100)))</f>
        <v>14.150197957196431</v>
      </c>
      <c r="I299" s="107">
        <f t="shared" si="30"/>
        <v>4.0502194937788394</v>
      </c>
    </row>
    <row r="300" spans="1:9" x14ac:dyDescent="0.2">
      <c r="A300" s="5"/>
      <c r="B300" s="36"/>
      <c r="C300" s="23" t="s">
        <v>14</v>
      </c>
      <c r="D300" s="140">
        <f t="shared" si="27"/>
        <v>9033.3081851904753</v>
      </c>
      <c r="E300" s="141">
        <f t="shared" si="25"/>
        <v>0.33141025641007987</v>
      </c>
      <c r="F300" s="106">
        <f t="shared" si="28"/>
        <v>0.99752939194304169</v>
      </c>
      <c r="G300" s="106">
        <f t="shared" si="29"/>
        <v>2.0050094327657364</v>
      </c>
      <c r="H300" s="106">
        <f>IF(E300="","",(((D300/VLOOKUP("dez",$C$259:D299,2,FALSE)-1)*100)))</f>
        <v>14.528503420938987</v>
      </c>
      <c r="I300" s="107">
        <f t="shared" si="30"/>
        <v>4.050219493776952</v>
      </c>
    </row>
  </sheetData>
  <mergeCells count="3">
    <mergeCell ref="B1:H1"/>
    <mergeCell ref="E4:I4"/>
    <mergeCell ref="K7:L7"/>
  </mergeCells>
  <hyperlinks>
    <hyperlink ref="O4" r:id="rId1" xr:uid="{849A4FB4-0313-4280-B883-8C0E32950AA7}"/>
  </hyperlinks>
  <pageMargins left="0.78740157499999996" right="0.78740157499999996" top="0.984251969" bottom="0.984251969" header="0.49212598499999999" footer="0.49212598499999999"/>
  <pageSetup paperSize="9" scale="29" orientation="landscape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18"/>
  <dimension ref="B2:D842"/>
  <sheetViews>
    <sheetView workbookViewId="0">
      <selection activeCell="G19" sqref="G19"/>
    </sheetView>
  </sheetViews>
  <sheetFormatPr defaultRowHeight="12.75" x14ac:dyDescent="0.2"/>
  <cols>
    <col min="1" max="1" width="3" customWidth="1"/>
    <col min="2" max="2" width="8.85546875" style="3" bestFit="1" customWidth="1"/>
    <col min="3" max="3" width="21.7109375" customWidth="1"/>
    <col min="4" max="4" width="10.140625" bestFit="1" customWidth="1"/>
    <col min="5" max="5" width="12.28515625" bestFit="1" customWidth="1"/>
    <col min="6" max="6" width="8.85546875" customWidth="1"/>
  </cols>
  <sheetData>
    <row r="2" spans="2:4" x14ac:dyDescent="0.2">
      <c r="B2" s="79" t="s">
        <v>0</v>
      </c>
    </row>
    <row r="3" spans="2:4" x14ac:dyDescent="0.2">
      <c r="B3" s="80">
        <v>38352</v>
      </c>
      <c r="C3" s="78"/>
      <c r="D3" s="77"/>
    </row>
    <row r="4" spans="2:4" x14ac:dyDescent="0.2">
      <c r="B4" s="80">
        <v>38405</v>
      </c>
      <c r="C4" s="78"/>
      <c r="D4" s="77"/>
    </row>
    <row r="5" spans="2:4" x14ac:dyDescent="0.2">
      <c r="B5" s="80">
        <v>38406</v>
      </c>
      <c r="C5" s="78"/>
      <c r="D5" s="77"/>
    </row>
    <row r="6" spans="2:4" x14ac:dyDescent="0.2">
      <c r="B6" s="80">
        <v>38451</v>
      </c>
      <c r="C6" s="78"/>
      <c r="D6" s="77"/>
    </row>
    <row r="7" spans="2:4" x14ac:dyDescent="0.2">
      <c r="B7" s="80">
        <v>38462</v>
      </c>
      <c r="C7" s="78"/>
      <c r="D7" s="77"/>
    </row>
    <row r="8" spans="2:4" x14ac:dyDescent="0.2">
      <c r="B8" s="80">
        <v>38472</v>
      </c>
      <c r="C8" s="78"/>
      <c r="D8" s="77"/>
    </row>
    <row r="9" spans="2:4" x14ac:dyDescent="0.2">
      <c r="B9" s="80">
        <v>38513</v>
      </c>
      <c r="C9" s="78"/>
      <c r="D9" s="77"/>
    </row>
    <row r="10" spans="2:4" x14ac:dyDescent="0.2">
      <c r="B10" s="80">
        <v>38601</v>
      </c>
      <c r="C10" s="78"/>
      <c r="D10" s="77"/>
    </row>
    <row r="11" spans="2:4" x14ac:dyDescent="0.2">
      <c r="B11" s="80">
        <v>38636</v>
      </c>
      <c r="C11" s="78"/>
      <c r="D11" s="77"/>
    </row>
    <row r="12" spans="2:4" x14ac:dyDescent="0.2">
      <c r="B12" s="80">
        <v>38657</v>
      </c>
      <c r="C12" s="78"/>
      <c r="D12" s="77"/>
    </row>
    <row r="13" spans="2:4" x14ac:dyDescent="0.2">
      <c r="B13" s="80">
        <v>38670</v>
      </c>
      <c r="C13" s="78"/>
      <c r="D13" s="77"/>
    </row>
    <row r="14" spans="2:4" x14ac:dyDescent="0.2">
      <c r="B14" s="80">
        <v>38710</v>
      </c>
      <c r="C14" s="78"/>
      <c r="D14" s="77"/>
    </row>
    <row r="15" spans="2:4" x14ac:dyDescent="0.2">
      <c r="B15" s="80">
        <v>38717</v>
      </c>
      <c r="C15" s="78"/>
      <c r="D15" s="77"/>
    </row>
    <row r="16" spans="2:4" x14ac:dyDescent="0.2">
      <c r="B16" s="80">
        <v>38762</v>
      </c>
      <c r="C16" s="78"/>
      <c r="D16" s="77"/>
    </row>
    <row r="17" spans="2:4" x14ac:dyDescent="0.2">
      <c r="B17" s="80">
        <v>38763</v>
      </c>
      <c r="C17" s="78"/>
      <c r="D17" s="77"/>
    </row>
    <row r="18" spans="2:4" x14ac:dyDescent="0.2">
      <c r="B18" s="80">
        <v>38808</v>
      </c>
      <c r="C18" s="78"/>
      <c r="D18" s="77"/>
    </row>
    <row r="19" spans="2:4" x14ac:dyDescent="0.2">
      <c r="B19" s="80">
        <v>38827</v>
      </c>
      <c r="C19" s="78"/>
      <c r="D19" s="77"/>
    </row>
    <row r="20" spans="2:4" x14ac:dyDescent="0.2">
      <c r="B20" s="80">
        <v>38837</v>
      </c>
      <c r="C20" s="78"/>
      <c r="D20" s="77"/>
    </row>
    <row r="21" spans="2:4" x14ac:dyDescent="0.2">
      <c r="B21" s="80">
        <v>38870</v>
      </c>
      <c r="C21" s="78"/>
      <c r="D21" s="77"/>
    </row>
    <row r="22" spans="2:4" x14ac:dyDescent="0.2">
      <c r="B22" s="80">
        <v>38966</v>
      </c>
      <c r="C22" s="78"/>
      <c r="D22" s="77"/>
    </row>
    <row r="23" spans="2:4" x14ac:dyDescent="0.2">
      <c r="B23" s="80">
        <v>39001</v>
      </c>
      <c r="C23" s="78"/>
      <c r="D23" s="77"/>
    </row>
    <row r="24" spans="2:4" x14ac:dyDescent="0.2">
      <c r="B24" s="80">
        <v>39022</v>
      </c>
      <c r="C24" s="78"/>
      <c r="D24" s="77"/>
    </row>
    <row r="25" spans="2:4" x14ac:dyDescent="0.2">
      <c r="B25" s="80">
        <v>39035</v>
      </c>
      <c r="C25" s="78"/>
      <c r="D25" s="77"/>
    </row>
    <row r="26" spans="2:4" x14ac:dyDescent="0.2">
      <c r="B26" s="80">
        <v>39075</v>
      </c>
      <c r="C26" s="78"/>
      <c r="D26" s="77"/>
    </row>
    <row r="27" spans="2:4" x14ac:dyDescent="0.2">
      <c r="B27" s="80">
        <v>39082</v>
      </c>
      <c r="C27" s="78"/>
      <c r="D27" s="77"/>
    </row>
    <row r="28" spans="2:4" x14ac:dyDescent="0.2">
      <c r="B28" s="80">
        <v>39147</v>
      </c>
      <c r="C28" s="78"/>
      <c r="D28" s="77"/>
    </row>
    <row r="29" spans="2:4" x14ac:dyDescent="0.2">
      <c r="B29" s="80">
        <v>39148</v>
      </c>
      <c r="C29" s="78"/>
      <c r="D29" s="77"/>
    </row>
    <row r="30" spans="2:4" x14ac:dyDescent="0.2">
      <c r="B30" s="80">
        <v>39192</v>
      </c>
      <c r="C30" s="78"/>
      <c r="D30" s="77"/>
    </row>
    <row r="31" spans="2:4" x14ac:dyDescent="0.2">
      <c r="B31" s="80">
        <v>39193</v>
      </c>
      <c r="C31" s="78"/>
      <c r="D31" s="77"/>
    </row>
    <row r="32" spans="2:4" x14ac:dyDescent="0.2">
      <c r="B32" s="80">
        <v>39202</v>
      </c>
      <c r="C32" s="78"/>
      <c r="D32" s="77"/>
    </row>
    <row r="33" spans="2:4" x14ac:dyDescent="0.2">
      <c r="B33" s="80">
        <v>39255</v>
      </c>
      <c r="C33" s="78"/>
      <c r="D33" s="77"/>
    </row>
    <row r="34" spans="2:4" x14ac:dyDescent="0.2">
      <c r="B34" s="80">
        <v>39331</v>
      </c>
      <c r="C34" s="78"/>
      <c r="D34" s="77"/>
    </row>
    <row r="35" spans="2:4" x14ac:dyDescent="0.2">
      <c r="B35" s="80">
        <v>39366</v>
      </c>
      <c r="C35" s="78"/>
      <c r="D35" s="77"/>
    </row>
    <row r="36" spans="2:4" x14ac:dyDescent="0.2">
      <c r="B36" s="80">
        <v>39387</v>
      </c>
      <c r="C36" s="78"/>
      <c r="D36" s="77"/>
    </row>
    <row r="37" spans="2:4" x14ac:dyDescent="0.2">
      <c r="B37" s="80">
        <v>39400</v>
      </c>
      <c r="C37" s="78"/>
      <c r="D37" s="77"/>
    </row>
    <row r="38" spans="2:4" x14ac:dyDescent="0.2">
      <c r="B38" s="80">
        <v>39440</v>
      </c>
      <c r="C38" s="78"/>
      <c r="D38" s="77"/>
    </row>
    <row r="39" spans="2:4" x14ac:dyDescent="0.2">
      <c r="B39" s="80">
        <v>39447</v>
      </c>
      <c r="C39" s="78"/>
      <c r="D39" s="77"/>
    </row>
    <row r="40" spans="2:4" x14ac:dyDescent="0.2">
      <c r="B40" s="80">
        <v>39497</v>
      </c>
      <c r="C40" s="78"/>
      <c r="D40" s="77"/>
    </row>
    <row r="41" spans="2:4" x14ac:dyDescent="0.2">
      <c r="B41" s="80">
        <v>39498</v>
      </c>
      <c r="C41" s="78"/>
      <c r="D41" s="77"/>
    </row>
    <row r="42" spans="2:4" x14ac:dyDescent="0.2">
      <c r="B42" s="80">
        <v>39543</v>
      </c>
      <c r="C42" s="78"/>
      <c r="D42" s="77"/>
    </row>
    <row r="43" spans="2:4" x14ac:dyDescent="0.2">
      <c r="B43" s="80">
        <v>39558</v>
      </c>
      <c r="C43" s="78"/>
      <c r="D43" s="77"/>
    </row>
    <row r="44" spans="2:4" x14ac:dyDescent="0.2">
      <c r="B44" s="80">
        <v>39568</v>
      </c>
      <c r="C44" s="78"/>
      <c r="D44" s="77"/>
    </row>
    <row r="45" spans="2:4" x14ac:dyDescent="0.2">
      <c r="B45" s="80">
        <v>39605</v>
      </c>
      <c r="C45" s="78"/>
      <c r="D45" s="77"/>
    </row>
    <row r="46" spans="2:4" x14ac:dyDescent="0.2">
      <c r="B46" s="80">
        <v>39697</v>
      </c>
      <c r="C46" s="78"/>
      <c r="D46" s="77"/>
    </row>
    <row r="47" spans="2:4" x14ac:dyDescent="0.2">
      <c r="B47" s="80">
        <v>39732</v>
      </c>
      <c r="C47" s="78"/>
      <c r="D47" s="77"/>
    </row>
    <row r="48" spans="2:4" x14ac:dyDescent="0.2">
      <c r="B48" s="80">
        <v>39753</v>
      </c>
      <c r="C48" s="78"/>
      <c r="D48" s="77"/>
    </row>
    <row r="49" spans="2:4" x14ac:dyDescent="0.2">
      <c r="B49" s="80">
        <v>39766</v>
      </c>
      <c r="C49" s="78"/>
      <c r="D49" s="77"/>
    </row>
    <row r="50" spans="2:4" x14ac:dyDescent="0.2">
      <c r="B50" s="80">
        <v>39806</v>
      </c>
      <c r="C50" s="78"/>
      <c r="D50" s="77"/>
    </row>
    <row r="51" spans="2:4" x14ac:dyDescent="0.2">
      <c r="B51" s="80">
        <v>39813</v>
      </c>
      <c r="C51" s="78"/>
      <c r="D51" s="77"/>
    </row>
    <row r="52" spans="2:4" x14ac:dyDescent="0.2">
      <c r="B52" s="80">
        <v>39854</v>
      </c>
      <c r="C52" s="78"/>
      <c r="D52" s="77"/>
    </row>
    <row r="53" spans="2:4" x14ac:dyDescent="0.2">
      <c r="B53" s="80">
        <v>39855</v>
      </c>
      <c r="C53" s="78"/>
      <c r="D53" s="77"/>
    </row>
    <row r="54" spans="2:4" x14ac:dyDescent="0.2">
      <c r="B54" s="80">
        <v>39900</v>
      </c>
      <c r="C54" s="78"/>
      <c r="D54" s="77"/>
    </row>
    <row r="55" spans="2:4" x14ac:dyDescent="0.2">
      <c r="B55" s="80">
        <v>39923</v>
      </c>
      <c r="C55" s="78"/>
      <c r="D55" s="77"/>
    </row>
    <row r="56" spans="2:4" x14ac:dyDescent="0.2">
      <c r="B56" s="80">
        <v>39933</v>
      </c>
      <c r="C56" s="78"/>
      <c r="D56" s="77"/>
    </row>
    <row r="57" spans="2:4" x14ac:dyDescent="0.2">
      <c r="B57" s="80">
        <v>39962</v>
      </c>
      <c r="C57" s="78"/>
      <c r="D57" s="77"/>
    </row>
    <row r="58" spans="2:4" x14ac:dyDescent="0.2">
      <c r="B58" s="80">
        <v>40062</v>
      </c>
      <c r="C58" s="78"/>
      <c r="D58" s="77"/>
    </row>
    <row r="59" spans="2:4" x14ac:dyDescent="0.2">
      <c r="B59" s="80">
        <v>40097</v>
      </c>
      <c r="C59" s="78"/>
      <c r="D59" s="77"/>
    </row>
    <row r="60" spans="2:4" x14ac:dyDescent="0.2">
      <c r="B60" s="80">
        <v>40118</v>
      </c>
      <c r="C60" s="78"/>
      <c r="D60" s="77"/>
    </row>
    <row r="61" spans="2:4" x14ac:dyDescent="0.2">
      <c r="B61" s="80">
        <v>40131</v>
      </c>
      <c r="C61" s="78"/>
      <c r="D61" s="77"/>
    </row>
    <row r="62" spans="2:4" x14ac:dyDescent="0.2">
      <c r="B62" s="80">
        <v>40171</v>
      </c>
      <c r="C62" s="78"/>
      <c r="D62" s="77"/>
    </row>
    <row r="63" spans="2:4" x14ac:dyDescent="0.2">
      <c r="B63" s="80">
        <v>40178</v>
      </c>
      <c r="C63" s="78"/>
      <c r="D63" s="77"/>
    </row>
    <row r="64" spans="2:4" x14ac:dyDescent="0.2">
      <c r="B64" s="80">
        <v>40239</v>
      </c>
      <c r="C64" s="78"/>
      <c r="D64" s="77"/>
    </row>
    <row r="65" spans="2:4" x14ac:dyDescent="0.2">
      <c r="B65" s="80">
        <v>40240</v>
      </c>
      <c r="C65" s="78"/>
      <c r="D65" s="77"/>
    </row>
    <row r="66" spans="2:4" x14ac:dyDescent="0.2">
      <c r="B66" s="80">
        <v>40285</v>
      </c>
      <c r="C66" s="78"/>
      <c r="D66" s="77"/>
    </row>
    <row r="67" spans="2:4" x14ac:dyDescent="0.2">
      <c r="B67" s="80">
        <v>40288</v>
      </c>
      <c r="C67" s="78"/>
      <c r="D67" s="77"/>
    </row>
    <row r="68" spans="2:4" x14ac:dyDescent="0.2">
      <c r="B68" s="80">
        <v>40298</v>
      </c>
      <c r="C68" s="78"/>
      <c r="D68" s="77"/>
    </row>
    <row r="69" spans="2:4" x14ac:dyDescent="0.2">
      <c r="B69" s="80">
        <v>40347</v>
      </c>
      <c r="C69" s="78"/>
      <c r="D69" s="77"/>
    </row>
    <row r="70" spans="2:4" x14ac:dyDescent="0.2">
      <c r="B70" s="80">
        <v>40427</v>
      </c>
      <c r="C70" s="78"/>
      <c r="D70" s="77"/>
    </row>
    <row r="71" spans="2:4" x14ac:dyDescent="0.2">
      <c r="B71" s="80">
        <v>40462</v>
      </c>
      <c r="C71" s="78"/>
      <c r="D71" s="77"/>
    </row>
    <row r="72" spans="2:4" x14ac:dyDescent="0.2">
      <c r="B72" s="80">
        <v>40483</v>
      </c>
      <c r="C72" s="78"/>
      <c r="D72" s="77"/>
    </row>
    <row r="73" spans="2:4" x14ac:dyDescent="0.2">
      <c r="B73" s="80">
        <v>40496</v>
      </c>
      <c r="C73" s="78"/>
      <c r="D73" s="77"/>
    </row>
    <row r="74" spans="2:4" x14ac:dyDescent="0.2">
      <c r="B74" s="80">
        <v>40536</v>
      </c>
      <c r="C74" s="78"/>
      <c r="D74" s="77"/>
    </row>
    <row r="75" spans="2:4" x14ac:dyDescent="0.2">
      <c r="B75" s="80">
        <v>40543</v>
      </c>
      <c r="C75" s="78"/>
      <c r="D75" s="77"/>
    </row>
    <row r="76" spans="2:4" x14ac:dyDescent="0.2">
      <c r="B76" s="80">
        <v>40589</v>
      </c>
      <c r="C76" s="78"/>
      <c r="D76" s="77"/>
    </row>
    <row r="77" spans="2:4" x14ac:dyDescent="0.2">
      <c r="B77" s="80">
        <v>40590</v>
      </c>
      <c r="C77" s="78"/>
      <c r="D77" s="77"/>
    </row>
    <row r="78" spans="2:4" x14ac:dyDescent="0.2">
      <c r="B78" s="80">
        <v>40635</v>
      </c>
      <c r="C78" s="78"/>
      <c r="D78" s="77"/>
    </row>
    <row r="79" spans="2:4" x14ac:dyDescent="0.2">
      <c r="B79" s="80">
        <v>40653</v>
      </c>
      <c r="C79" s="78"/>
      <c r="D79" s="77"/>
    </row>
    <row r="80" spans="2:4" x14ac:dyDescent="0.2">
      <c r="B80" s="80">
        <v>40663</v>
      </c>
      <c r="C80" s="78"/>
      <c r="D80" s="77"/>
    </row>
    <row r="81" spans="2:4" x14ac:dyDescent="0.2">
      <c r="B81" s="80">
        <v>40697</v>
      </c>
      <c r="C81" s="78"/>
      <c r="D81" s="77"/>
    </row>
    <row r="82" spans="2:4" x14ac:dyDescent="0.2">
      <c r="B82" s="80">
        <v>40792</v>
      </c>
      <c r="C82" s="78"/>
      <c r="D82" s="77"/>
    </row>
    <row r="83" spans="2:4" x14ac:dyDescent="0.2">
      <c r="B83" s="80">
        <v>40827</v>
      </c>
      <c r="C83" s="78"/>
      <c r="D83" s="77"/>
    </row>
    <row r="84" spans="2:4" x14ac:dyDescent="0.2">
      <c r="B84" s="80">
        <v>40848</v>
      </c>
      <c r="C84" s="78"/>
      <c r="D84" s="77"/>
    </row>
    <row r="85" spans="2:4" x14ac:dyDescent="0.2">
      <c r="B85" s="80">
        <v>40861</v>
      </c>
      <c r="C85" s="78"/>
      <c r="D85" s="77"/>
    </row>
    <row r="86" spans="2:4" x14ac:dyDescent="0.2">
      <c r="B86" s="80">
        <v>40901</v>
      </c>
      <c r="C86" s="78"/>
      <c r="D86" s="77"/>
    </row>
    <row r="87" spans="2:4" x14ac:dyDescent="0.2">
      <c r="B87" s="80">
        <v>40908</v>
      </c>
      <c r="C87" s="78"/>
      <c r="D87" s="77"/>
    </row>
    <row r="88" spans="2:4" x14ac:dyDescent="0.2">
      <c r="B88" s="80">
        <v>40946</v>
      </c>
      <c r="C88" s="78"/>
      <c r="D88" s="77"/>
    </row>
    <row r="89" spans="2:4" x14ac:dyDescent="0.2">
      <c r="B89" s="80">
        <v>40947</v>
      </c>
      <c r="C89" s="78"/>
      <c r="D89" s="77"/>
    </row>
    <row r="90" spans="2:4" x14ac:dyDescent="0.2">
      <c r="B90" s="80">
        <v>40992</v>
      </c>
      <c r="C90" s="78"/>
      <c r="D90" s="77"/>
    </row>
    <row r="91" spans="2:4" x14ac:dyDescent="0.2">
      <c r="B91" s="80">
        <v>41019</v>
      </c>
      <c r="C91" s="78"/>
      <c r="D91" s="77"/>
    </row>
    <row r="92" spans="2:4" x14ac:dyDescent="0.2">
      <c r="B92" s="80">
        <v>41029</v>
      </c>
      <c r="C92" s="78"/>
      <c r="D92" s="77"/>
    </row>
    <row r="93" spans="2:4" x14ac:dyDescent="0.2">
      <c r="B93" s="80">
        <v>41054</v>
      </c>
      <c r="C93" s="78"/>
      <c r="D93" s="77"/>
    </row>
    <row r="94" spans="2:4" x14ac:dyDescent="0.2">
      <c r="B94" s="80">
        <v>41158</v>
      </c>
      <c r="C94" s="78"/>
      <c r="D94" s="77"/>
    </row>
    <row r="95" spans="2:4" x14ac:dyDescent="0.2">
      <c r="B95" s="80">
        <v>41193</v>
      </c>
      <c r="C95" s="78"/>
      <c r="D95" s="77"/>
    </row>
    <row r="96" spans="2:4" x14ac:dyDescent="0.2">
      <c r="B96" s="80">
        <v>41214</v>
      </c>
      <c r="C96" s="78"/>
      <c r="D96" s="77"/>
    </row>
    <row r="97" spans="2:4" x14ac:dyDescent="0.2">
      <c r="B97" s="80">
        <v>41227</v>
      </c>
      <c r="C97" s="78"/>
      <c r="D97" s="77"/>
    </row>
    <row r="98" spans="2:4" x14ac:dyDescent="0.2">
      <c r="B98" s="80">
        <v>41267</v>
      </c>
      <c r="C98" s="78"/>
      <c r="D98" s="77"/>
    </row>
    <row r="99" spans="2:4" x14ac:dyDescent="0.2">
      <c r="B99" s="80">
        <v>41274</v>
      </c>
      <c r="C99" s="78"/>
      <c r="D99" s="77"/>
    </row>
    <row r="100" spans="2:4" x14ac:dyDescent="0.2">
      <c r="B100" s="80">
        <v>41331</v>
      </c>
      <c r="C100" s="78"/>
      <c r="D100" s="77"/>
    </row>
    <row r="101" spans="2:4" x14ac:dyDescent="0.2">
      <c r="B101" s="80">
        <v>41332</v>
      </c>
      <c r="C101" s="78"/>
      <c r="D101" s="77"/>
    </row>
    <row r="102" spans="2:4" x14ac:dyDescent="0.2">
      <c r="B102" s="80">
        <v>41377</v>
      </c>
      <c r="C102" s="78"/>
      <c r="D102" s="77"/>
    </row>
    <row r="103" spans="2:4" x14ac:dyDescent="0.2">
      <c r="B103" s="80">
        <v>41384</v>
      </c>
      <c r="C103" s="78"/>
      <c r="D103" s="77"/>
    </row>
    <row r="104" spans="2:4" x14ac:dyDescent="0.2">
      <c r="B104" s="80">
        <v>41394</v>
      </c>
      <c r="C104" s="78"/>
      <c r="D104" s="77"/>
    </row>
    <row r="105" spans="2:4" x14ac:dyDescent="0.2">
      <c r="B105" s="80">
        <v>41439</v>
      </c>
      <c r="C105" s="78"/>
      <c r="D105" s="77"/>
    </row>
    <row r="106" spans="2:4" x14ac:dyDescent="0.2">
      <c r="B106" s="80">
        <v>41523</v>
      </c>
      <c r="C106" s="78"/>
      <c r="D106" s="77"/>
    </row>
    <row r="107" spans="2:4" x14ac:dyDescent="0.2">
      <c r="B107" s="80">
        <v>41558</v>
      </c>
      <c r="C107" s="78"/>
      <c r="D107" s="77"/>
    </row>
    <row r="108" spans="2:4" x14ac:dyDescent="0.2">
      <c r="B108" s="80">
        <v>41579</v>
      </c>
      <c r="C108" s="78"/>
      <c r="D108" s="77"/>
    </row>
    <row r="109" spans="2:4" x14ac:dyDescent="0.2">
      <c r="B109" s="80">
        <v>41592</v>
      </c>
      <c r="C109" s="78"/>
      <c r="D109" s="77"/>
    </row>
    <row r="110" spans="2:4" x14ac:dyDescent="0.2">
      <c r="B110" s="80">
        <v>41632</v>
      </c>
      <c r="C110" s="78"/>
      <c r="D110" s="77"/>
    </row>
    <row r="111" spans="2:4" x14ac:dyDescent="0.2">
      <c r="B111" s="80">
        <v>41639</v>
      </c>
      <c r="C111" s="78"/>
      <c r="D111" s="77"/>
    </row>
    <row r="112" spans="2:4" x14ac:dyDescent="0.2">
      <c r="B112" s="80">
        <v>41681</v>
      </c>
      <c r="C112" s="78"/>
      <c r="D112" s="77"/>
    </row>
    <row r="113" spans="2:4" x14ac:dyDescent="0.2">
      <c r="B113" s="80">
        <v>41682</v>
      </c>
      <c r="C113" s="78"/>
      <c r="D113" s="77"/>
    </row>
    <row r="114" spans="2:4" x14ac:dyDescent="0.2">
      <c r="B114" s="80">
        <v>41727</v>
      </c>
      <c r="C114" s="78"/>
      <c r="D114" s="77"/>
    </row>
    <row r="115" spans="2:4" x14ac:dyDescent="0.2">
      <c r="B115" s="80">
        <v>41749</v>
      </c>
      <c r="C115" s="78"/>
      <c r="D115" s="77"/>
    </row>
    <row r="116" spans="2:4" x14ac:dyDescent="0.2">
      <c r="B116" s="80">
        <v>41759</v>
      </c>
      <c r="C116" s="78"/>
      <c r="D116" s="77"/>
    </row>
    <row r="117" spans="2:4" x14ac:dyDescent="0.2">
      <c r="B117" s="80">
        <v>41789</v>
      </c>
      <c r="C117" s="78"/>
      <c r="D117" s="77"/>
    </row>
    <row r="118" spans="2:4" x14ac:dyDescent="0.2">
      <c r="B118" s="80">
        <v>41888</v>
      </c>
      <c r="C118" s="78"/>
      <c r="D118" s="77"/>
    </row>
    <row r="119" spans="2:4" x14ac:dyDescent="0.2">
      <c r="B119" s="80">
        <v>41923</v>
      </c>
      <c r="C119" s="78"/>
      <c r="D119" s="77"/>
    </row>
    <row r="120" spans="2:4" x14ac:dyDescent="0.2">
      <c r="B120" s="80">
        <v>41944</v>
      </c>
      <c r="C120" s="78"/>
      <c r="D120" s="77"/>
    </row>
    <row r="121" spans="2:4" x14ac:dyDescent="0.2">
      <c r="B121" s="80">
        <v>41957</v>
      </c>
      <c r="C121" s="78"/>
      <c r="D121" s="77"/>
    </row>
    <row r="122" spans="2:4" x14ac:dyDescent="0.2">
      <c r="B122" s="80">
        <v>41997</v>
      </c>
      <c r="C122" s="78"/>
      <c r="D122" s="77"/>
    </row>
    <row r="123" spans="2:4" x14ac:dyDescent="0.2">
      <c r="B123" s="80">
        <v>42004</v>
      </c>
      <c r="C123" s="78"/>
      <c r="D123" s="77"/>
    </row>
    <row r="124" spans="2:4" x14ac:dyDescent="0.2">
      <c r="B124" s="80">
        <v>42066</v>
      </c>
      <c r="C124" s="78"/>
      <c r="D124" s="77"/>
    </row>
    <row r="125" spans="2:4" x14ac:dyDescent="0.2">
      <c r="B125" s="80">
        <v>42067</v>
      </c>
      <c r="C125" s="78"/>
      <c r="D125" s="77"/>
    </row>
    <row r="126" spans="2:4" x14ac:dyDescent="0.2">
      <c r="B126" s="80">
        <v>42112</v>
      </c>
      <c r="C126" s="78"/>
      <c r="D126" s="77"/>
    </row>
    <row r="127" spans="2:4" x14ac:dyDescent="0.2">
      <c r="B127" s="80">
        <v>42114</v>
      </c>
      <c r="C127" s="78"/>
      <c r="D127" s="77"/>
    </row>
    <row r="128" spans="2:4" x14ac:dyDescent="0.2">
      <c r="B128" s="80">
        <v>42124</v>
      </c>
      <c r="C128" s="78"/>
      <c r="D128" s="77"/>
    </row>
    <row r="129" spans="2:4" x14ac:dyDescent="0.2">
      <c r="B129" s="80">
        <v>42174</v>
      </c>
      <c r="C129" s="78"/>
      <c r="D129" s="77"/>
    </row>
    <row r="130" spans="2:4" x14ac:dyDescent="0.2">
      <c r="B130" s="80">
        <v>42253</v>
      </c>
      <c r="C130" s="78"/>
      <c r="D130" s="77"/>
    </row>
    <row r="131" spans="2:4" x14ac:dyDescent="0.2">
      <c r="B131" s="80">
        <v>42288</v>
      </c>
      <c r="C131" s="78"/>
      <c r="D131" s="77"/>
    </row>
    <row r="132" spans="2:4" x14ac:dyDescent="0.2">
      <c r="B132" s="80">
        <v>42309</v>
      </c>
      <c r="C132" s="78"/>
      <c r="D132" s="77"/>
    </row>
    <row r="133" spans="2:4" x14ac:dyDescent="0.2">
      <c r="B133" s="80">
        <v>42322</v>
      </c>
      <c r="C133" s="78"/>
      <c r="D133" s="77"/>
    </row>
    <row r="134" spans="2:4" x14ac:dyDescent="0.2">
      <c r="B134" s="80">
        <v>42362</v>
      </c>
      <c r="C134" s="78"/>
      <c r="D134" s="77"/>
    </row>
    <row r="135" spans="2:4" x14ac:dyDescent="0.2">
      <c r="B135" s="80">
        <v>42369</v>
      </c>
      <c r="C135" s="78"/>
      <c r="D135" s="77"/>
    </row>
    <row r="136" spans="2:4" x14ac:dyDescent="0.2">
      <c r="B136" s="80">
        <v>42423</v>
      </c>
      <c r="C136" s="78"/>
      <c r="D136" s="77"/>
    </row>
    <row r="137" spans="2:4" x14ac:dyDescent="0.2">
      <c r="B137" s="80">
        <v>42424</v>
      </c>
      <c r="C137" s="78"/>
      <c r="D137" s="77"/>
    </row>
    <row r="138" spans="2:4" x14ac:dyDescent="0.2">
      <c r="B138" s="80">
        <v>42469</v>
      </c>
      <c r="C138" s="78"/>
      <c r="D138" s="77"/>
    </row>
    <row r="139" spans="2:4" x14ac:dyDescent="0.2">
      <c r="B139" s="80">
        <v>42480</v>
      </c>
      <c r="C139" s="78"/>
      <c r="D139" s="77"/>
    </row>
    <row r="140" spans="2:4" x14ac:dyDescent="0.2">
      <c r="B140" s="80">
        <v>42490</v>
      </c>
      <c r="C140" s="78"/>
      <c r="D140" s="77"/>
    </row>
    <row r="141" spans="2:4" x14ac:dyDescent="0.2">
      <c r="B141" s="80">
        <v>42531</v>
      </c>
      <c r="C141" s="78"/>
      <c r="D141" s="77"/>
    </row>
    <row r="142" spans="2:4" x14ac:dyDescent="0.2">
      <c r="B142" s="80">
        <v>42619</v>
      </c>
      <c r="C142" s="78"/>
      <c r="D142" s="77"/>
    </row>
    <row r="143" spans="2:4" x14ac:dyDescent="0.2">
      <c r="B143" s="80">
        <v>42654</v>
      </c>
      <c r="C143" s="78"/>
      <c r="D143" s="77"/>
    </row>
    <row r="144" spans="2:4" x14ac:dyDescent="0.2">
      <c r="B144" s="80">
        <v>42675</v>
      </c>
      <c r="C144" s="78"/>
      <c r="D144" s="77"/>
    </row>
    <row r="145" spans="2:4" x14ac:dyDescent="0.2">
      <c r="B145" s="80">
        <v>42688</v>
      </c>
      <c r="C145" s="78"/>
      <c r="D145" s="77"/>
    </row>
    <row r="146" spans="2:4" x14ac:dyDescent="0.2">
      <c r="B146" s="80">
        <v>42728</v>
      </c>
      <c r="C146" s="78"/>
      <c r="D146" s="77"/>
    </row>
    <row r="147" spans="2:4" x14ac:dyDescent="0.2">
      <c r="B147" s="80">
        <v>42735</v>
      </c>
      <c r="C147" s="78"/>
      <c r="D147" s="77"/>
    </row>
    <row r="148" spans="2:4" x14ac:dyDescent="0.2">
      <c r="B148" s="80">
        <v>42780</v>
      </c>
      <c r="C148" s="78"/>
      <c r="D148" s="77"/>
    </row>
    <row r="149" spans="2:4" x14ac:dyDescent="0.2">
      <c r="B149" s="80">
        <v>42781</v>
      </c>
      <c r="C149" s="78"/>
      <c r="D149" s="77"/>
    </row>
    <row r="150" spans="2:4" x14ac:dyDescent="0.2">
      <c r="B150" s="80">
        <v>42826</v>
      </c>
      <c r="C150" s="78"/>
      <c r="D150" s="77"/>
    </row>
    <row r="151" spans="2:4" x14ac:dyDescent="0.2">
      <c r="B151" s="80">
        <v>42845</v>
      </c>
      <c r="C151" s="78"/>
      <c r="D151" s="77"/>
    </row>
    <row r="152" spans="2:4" x14ac:dyDescent="0.2">
      <c r="B152" s="80">
        <v>42855</v>
      </c>
      <c r="C152" s="78"/>
      <c r="D152" s="77"/>
    </row>
    <row r="153" spans="2:4" x14ac:dyDescent="0.2">
      <c r="B153" s="80">
        <v>42888</v>
      </c>
      <c r="C153" s="78"/>
      <c r="D153" s="77"/>
    </row>
    <row r="154" spans="2:4" x14ac:dyDescent="0.2">
      <c r="B154" s="80">
        <v>42984</v>
      </c>
      <c r="C154" s="78"/>
      <c r="D154" s="77"/>
    </row>
    <row r="155" spans="2:4" x14ac:dyDescent="0.2">
      <c r="B155" s="80">
        <v>43019</v>
      </c>
      <c r="C155" s="78"/>
      <c r="D155" s="77"/>
    </row>
    <row r="156" spans="2:4" x14ac:dyDescent="0.2">
      <c r="B156" s="80">
        <v>43040</v>
      </c>
      <c r="C156" s="78"/>
      <c r="D156" s="77"/>
    </row>
    <row r="157" spans="2:4" x14ac:dyDescent="0.2">
      <c r="B157" s="80">
        <v>43053</v>
      </c>
      <c r="C157" s="78"/>
      <c r="D157" s="77"/>
    </row>
    <row r="158" spans="2:4" x14ac:dyDescent="0.2">
      <c r="B158" s="80">
        <v>43093</v>
      </c>
      <c r="C158" s="78"/>
      <c r="D158" s="77"/>
    </row>
    <row r="159" spans="2:4" x14ac:dyDescent="0.2">
      <c r="B159" s="80">
        <v>43100</v>
      </c>
      <c r="C159" s="78"/>
      <c r="D159" s="77"/>
    </row>
    <row r="160" spans="2:4" x14ac:dyDescent="0.2">
      <c r="B160" s="80">
        <v>43158</v>
      </c>
      <c r="C160" s="78"/>
      <c r="D160" s="77"/>
    </row>
    <row r="161" spans="2:4" x14ac:dyDescent="0.2">
      <c r="B161" s="80">
        <v>43159</v>
      </c>
      <c r="C161" s="78"/>
      <c r="D161" s="77"/>
    </row>
    <row r="162" spans="2:4" x14ac:dyDescent="0.2">
      <c r="B162" s="80">
        <v>43204</v>
      </c>
      <c r="C162" s="78"/>
      <c r="D162" s="77"/>
    </row>
    <row r="163" spans="2:4" x14ac:dyDescent="0.2">
      <c r="B163" s="80">
        <v>43210</v>
      </c>
      <c r="C163" s="78"/>
      <c r="D163" s="77"/>
    </row>
    <row r="164" spans="2:4" x14ac:dyDescent="0.2">
      <c r="B164" s="80">
        <v>43220</v>
      </c>
      <c r="C164" s="78"/>
      <c r="D164" s="77"/>
    </row>
    <row r="165" spans="2:4" x14ac:dyDescent="0.2">
      <c r="B165" s="80">
        <v>43266</v>
      </c>
      <c r="C165" s="78"/>
      <c r="D165" s="77"/>
    </row>
    <row r="166" spans="2:4" x14ac:dyDescent="0.2">
      <c r="B166" s="80">
        <v>43349</v>
      </c>
      <c r="C166" s="78"/>
      <c r="D166" s="77"/>
    </row>
    <row r="167" spans="2:4" x14ac:dyDescent="0.2">
      <c r="B167" s="80">
        <v>43384</v>
      </c>
      <c r="C167" s="78"/>
      <c r="D167" s="77"/>
    </row>
    <row r="168" spans="2:4" x14ac:dyDescent="0.2">
      <c r="B168" s="80">
        <v>43405</v>
      </c>
      <c r="C168" s="78"/>
      <c r="D168" s="77"/>
    </row>
    <row r="169" spans="2:4" x14ac:dyDescent="0.2">
      <c r="B169" s="80">
        <v>43418</v>
      </c>
      <c r="C169" s="78"/>
      <c r="D169" s="77"/>
    </row>
    <row r="170" spans="2:4" x14ac:dyDescent="0.2">
      <c r="B170" s="80">
        <v>43458</v>
      </c>
      <c r="C170" s="78"/>
      <c r="D170" s="77"/>
    </row>
    <row r="171" spans="2:4" x14ac:dyDescent="0.2">
      <c r="B171" s="80">
        <v>43465</v>
      </c>
      <c r="C171" s="78"/>
      <c r="D171" s="77"/>
    </row>
    <row r="172" spans="2:4" x14ac:dyDescent="0.2">
      <c r="B172" s="80">
        <v>43515</v>
      </c>
      <c r="C172" s="78"/>
      <c r="D172" s="77"/>
    </row>
    <row r="173" spans="2:4" x14ac:dyDescent="0.2">
      <c r="B173" s="80">
        <v>43516</v>
      </c>
      <c r="C173" s="78"/>
      <c r="D173" s="77"/>
    </row>
    <row r="174" spans="2:4" x14ac:dyDescent="0.2">
      <c r="B174" s="80">
        <v>43561</v>
      </c>
      <c r="C174" s="78"/>
      <c r="D174" s="77"/>
    </row>
    <row r="175" spans="2:4" x14ac:dyDescent="0.2">
      <c r="B175" s="80">
        <v>43575</v>
      </c>
      <c r="C175" s="78"/>
      <c r="D175" s="77"/>
    </row>
    <row r="176" spans="2:4" x14ac:dyDescent="0.2">
      <c r="B176" s="80">
        <v>43585</v>
      </c>
      <c r="C176" s="78"/>
      <c r="D176" s="77"/>
    </row>
    <row r="177" spans="2:4" x14ac:dyDescent="0.2">
      <c r="B177" s="80">
        <v>43623</v>
      </c>
      <c r="C177" s="78"/>
      <c r="D177" s="77"/>
    </row>
    <row r="178" spans="2:4" x14ac:dyDescent="0.2">
      <c r="B178" s="80">
        <v>43714</v>
      </c>
      <c r="C178" s="78"/>
      <c r="D178" s="77"/>
    </row>
    <row r="179" spans="2:4" x14ac:dyDescent="0.2">
      <c r="B179" s="80">
        <v>43749</v>
      </c>
      <c r="C179" s="78"/>
      <c r="D179" s="77"/>
    </row>
    <row r="180" spans="2:4" x14ac:dyDescent="0.2">
      <c r="B180" s="80">
        <v>43770</v>
      </c>
      <c r="C180" s="78"/>
      <c r="D180" s="77"/>
    </row>
    <row r="181" spans="2:4" x14ac:dyDescent="0.2">
      <c r="B181" s="80">
        <v>43783</v>
      </c>
      <c r="C181" s="78"/>
      <c r="D181" s="77"/>
    </row>
    <row r="182" spans="2:4" x14ac:dyDescent="0.2">
      <c r="B182" s="80">
        <v>43823</v>
      </c>
      <c r="C182" s="78"/>
      <c r="D182" s="77"/>
    </row>
    <row r="183" spans="2:4" x14ac:dyDescent="0.2">
      <c r="B183" s="80">
        <v>43830</v>
      </c>
      <c r="C183" s="78"/>
      <c r="D183" s="77"/>
    </row>
    <row r="184" spans="2:4" x14ac:dyDescent="0.2">
      <c r="B184" s="80">
        <v>43872</v>
      </c>
      <c r="C184" s="78"/>
      <c r="D184" s="77"/>
    </row>
    <row r="185" spans="2:4" x14ac:dyDescent="0.2">
      <c r="B185" s="80">
        <v>43873</v>
      </c>
      <c r="C185" s="78"/>
      <c r="D185" s="77"/>
    </row>
    <row r="186" spans="2:4" x14ac:dyDescent="0.2">
      <c r="B186" s="80">
        <v>43918</v>
      </c>
      <c r="C186" s="78"/>
      <c r="D186" s="77"/>
    </row>
    <row r="187" spans="2:4" x14ac:dyDescent="0.2">
      <c r="B187" s="80">
        <v>43941</v>
      </c>
      <c r="C187" s="78"/>
      <c r="D187" s="77"/>
    </row>
    <row r="188" spans="2:4" x14ac:dyDescent="0.2">
      <c r="B188" s="80">
        <v>43951</v>
      </c>
      <c r="C188" s="78"/>
      <c r="D188" s="77"/>
    </row>
    <row r="189" spans="2:4" x14ac:dyDescent="0.2">
      <c r="B189" s="80">
        <v>43980</v>
      </c>
      <c r="C189" s="78"/>
      <c r="D189" s="77"/>
    </row>
    <row r="190" spans="2:4" x14ac:dyDescent="0.2">
      <c r="B190" s="80">
        <v>44080</v>
      </c>
      <c r="C190" s="78"/>
      <c r="D190" s="77"/>
    </row>
    <row r="191" spans="2:4" x14ac:dyDescent="0.2">
      <c r="B191" s="80">
        <v>44115</v>
      </c>
      <c r="C191" s="78"/>
      <c r="D191" s="77"/>
    </row>
    <row r="192" spans="2:4" x14ac:dyDescent="0.2">
      <c r="B192" s="80">
        <v>44136</v>
      </c>
      <c r="C192" s="78"/>
      <c r="D192" s="77"/>
    </row>
    <row r="193" spans="2:4" x14ac:dyDescent="0.2">
      <c r="B193" s="80">
        <v>44149</v>
      </c>
      <c r="C193" s="78"/>
      <c r="D193" s="77"/>
    </row>
    <row r="194" spans="2:4" x14ac:dyDescent="0.2">
      <c r="B194" s="80">
        <v>44189</v>
      </c>
      <c r="C194" s="78"/>
      <c r="D194" s="77"/>
    </row>
    <row r="195" spans="2:4" x14ac:dyDescent="0.2">
      <c r="B195" s="80">
        <v>44196</v>
      </c>
      <c r="C195" s="78"/>
      <c r="D195" s="77"/>
    </row>
    <row r="196" spans="2:4" x14ac:dyDescent="0.2">
      <c r="B196" s="80">
        <v>44257</v>
      </c>
      <c r="C196" s="78"/>
      <c r="D196" s="77"/>
    </row>
    <row r="197" spans="2:4" x14ac:dyDescent="0.2">
      <c r="B197" s="80">
        <v>44258</v>
      </c>
      <c r="C197" s="78"/>
      <c r="D197" s="77"/>
    </row>
    <row r="198" spans="2:4" x14ac:dyDescent="0.2">
      <c r="B198" s="80">
        <v>44303</v>
      </c>
      <c r="C198" s="78"/>
      <c r="D198" s="77"/>
    </row>
    <row r="199" spans="2:4" x14ac:dyDescent="0.2">
      <c r="B199" s="80">
        <v>44306</v>
      </c>
      <c r="C199" s="78"/>
      <c r="D199" s="77"/>
    </row>
    <row r="200" spans="2:4" x14ac:dyDescent="0.2">
      <c r="B200" s="80">
        <v>44316</v>
      </c>
      <c r="C200" s="78"/>
      <c r="D200" s="77"/>
    </row>
    <row r="201" spans="2:4" x14ac:dyDescent="0.2">
      <c r="B201" s="80">
        <v>44365</v>
      </c>
      <c r="C201" s="78"/>
      <c r="D201" s="77"/>
    </row>
    <row r="202" spans="2:4" x14ac:dyDescent="0.2">
      <c r="B202" s="80">
        <v>44445</v>
      </c>
      <c r="C202" s="78"/>
      <c r="D202" s="77"/>
    </row>
    <row r="203" spans="2:4" x14ac:dyDescent="0.2">
      <c r="B203" s="80">
        <v>44480</v>
      </c>
      <c r="C203" s="78"/>
      <c r="D203" s="77"/>
    </row>
    <row r="204" spans="2:4" x14ac:dyDescent="0.2">
      <c r="B204" s="80">
        <v>44501</v>
      </c>
      <c r="C204" s="78"/>
      <c r="D204" s="77"/>
    </row>
    <row r="205" spans="2:4" x14ac:dyDescent="0.2">
      <c r="B205" s="80">
        <v>44514</v>
      </c>
      <c r="C205" s="78"/>
      <c r="D205" s="77"/>
    </row>
    <row r="206" spans="2:4" x14ac:dyDescent="0.2">
      <c r="B206" s="80">
        <v>44554</v>
      </c>
      <c r="C206" s="78"/>
      <c r="D206" s="77"/>
    </row>
    <row r="207" spans="2:4" x14ac:dyDescent="0.2">
      <c r="B207" s="80">
        <v>44561</v>
      </c>
      <c r="C207" s="78"/>
      <c r="D207" s="77"/>
    </row>
    <row r="208" spans="2:4" x14ac:dyDescent="0.2">
      <c r="B208" s="80">
        <v>44607</v>
      </c>
      <c r="C208" s="78"/>
      <c r="D208" s="77"/>
    </row>
    <row r="209" spans="2:4" x14ac:dyDescent="0.2">
      <c r="B209" s="80">
        <v>44608</v>
      </c>
      <c r="C209" s="78"/>
      <c r="D209" s="77"/>
    </row>
    <row r="210" spans="2:4" x14ac:dyDescent="0.2">
      <c r="B210" s="80">
        <v>44653</v>
      </c>
      <c r="C210" s="78"/>
      <c r="D210" s="77"/>
    </row>
    <row r="211" spans="2:4" x14ac:dyDescent="0.2">
      <c r="B211" s="80">
        <v>44671</v>
      </c>
      <c r="C211" s="78"/>
      <c r="D211" s="77"/>
    </row>
    <row r="212" spans="2:4" x14ac:dyDescent="0.2">
      <c r="B212" s="80">
        <v>44681</v>
      </c>
      <c r="C212" s="78"/>
      <c r="D212" s="77"/>
    </row>
    <row r="213" spans="2:4" x14ac:dyDescent="0.2">
      <c r="B213" s="80">
        <v>44715</v>
      </c>
      <c r="C213" s="78"/>
      <c r="D213" s="77"/>
    </row>
    <row r="214" spans="2:4" x14ac:dyDescent="0.2">
      <c r="B214" s="80">
        <v>44810</v>
      </c>
      <c r="C214" s="78"/>
      <c r="D214" s="77"/>
    </row>
    <row r="215" spans="2:4" x14ac:dyDescent="0.2">
      <c r="B215" s="80">
        <v>44845</v>
      </c>
      <c r="C215" s="78"/>
      <c r="D215" s="77"/>
    </row>
    <row r="216" spans="2:4" x14ac:dyDescent="0.2">
      <c r="B216" s="80">
        <v>44866</v>
      </c>
      <c r="C216" s="78"/>
      <c r="D216" s="77"/>
    </row>
    <row r="217" spans="2:4" x14ac:dyDescent="0.2">
      <c r="B217" s="80">
        <v>44879</v>
      </c>
      <c r="C217" s="78"/>
      <c r="D217" s="77"/>
    </row>
    <row r="218" spans="2:4" x14ac:dyDescent="0.2">
      <c r="B218" s="80">
        <v>44919</v>
      </c>
      <c r="C218" s="78"/>
      <c r="D218" s="77"/>
    </row>
    <row r="219" spans="2:4" x14ac:dyDescent="0.2">
      <c r="B219" s="80">
        <v>44926</v>
      </c>
      <c r="C219" s="78"/>
      <c r="D219" s="77"/>
    </row>
    <row r="220" spans="2:4" x14ac:dyDescent="0.2">
      <c r="B220" s="80">
        <v>44964</v>
      </c>
      <c r="C220" s="78"/>
      <c r="D220" s="77"/>
    </row>
    <row r="221" spans="2:4" x14ac:dyDescent="0.2">
      <c r="B221" s="80">
        <v>44965</v>
      </c>
      <c r="C221" s="78"/>
      <c r="D221" s="77"/>
    </row>
    <row r="222" spans="2:4" x14ac:dyDescent="0.2">
      <c r="B222" s="80">
        <v>45010</v>
      </c>
      <c r="C222" s="78"/>
      <c r="D222" s="77"/>
    </row>
    <row r="223" spans="2:4" x14ac:dyDescent="0.2">
      <c r="B223" s="80">
        <v>45036</v>
      </c>
      <c r="C223" s="78"/>
      <c r="D223" s="77"/>
    </row>
    <row r="224" spans="2:4" x14ac:dyDescent="0.2">
      <c r="B224" s="80">
        <v>45046</v>
      </c>
      <c r="C224" s="78"/>
      <c r="D224" s="77"/>
    </row>
    <row r="225" spans="2:4" x14ac:dyDescent="0.2">
      <c r="B225" s="80">
        <v>45072</v>
      </c>
      <c r="C225" s="78"/>
      <c r="D225" s="77"/>
    </row>
    <row r="226" spans="2:4" x14ac:dyDescent="0.2">
      <c r="B226" s="80">
        <v>45175</v>
      </c>
      <c r="C226" s="78"/>
      <c r="D226" s="77"/>
    </row>
    <row r="227" spans="2:4" x14ac:dyDescent="0.2">
      <c r="B227" s="80">
        <v>45210</v>
      </c>
      <c r="C227" s="78"/>
      <c r="D227" s="77"/>
    </row>
    <row r="228" spans="2:4" x14ac:dyDescent="0.2">
      <c r="B228" s="80">
        <v>45231</v>
      </c>
      <c r="C228" s="78"/>
      <c r="D228" s="77"/>
    </row>
    <row r="229" spans="2:4" x14ac:dyDescent="0.2">
      <c r="B229" s="80">
        <v>45244</v>
      </c>
      <c r="C229" s="78"/>
      <c r="D229" s="77"/>
    </row>
    <row r="230" spans="2:4" x14ac:dyDescent="0.2">
      <c r="B230" s="80">
        <v>45284</v>
      </c>
      <c r="C230" s="78"/>
      <c r="D230" s="77"/>
    </row>
    <row r="231" spans="2:4" x14ac:dyDescent="0.2">
      <c r="B231" s="80">
        <v>45291</v>
      </c>
      <c r="C231" s="78"/>
      <c r="D231" s="77"/>
    </row>
    <row r="232" spans="2:4" x14ac:dyDescent="0.2">
      <c r="B232" s="80">
        <v>45349</v>
      </c>
      <c r="C232" s="78"/>
      <c r="D232" s="77"/>
    </row>
    <row r="233" spans="2:4" x14ac:dyDescent="0.2">
      <c r="B233" s="80">
        <v>45350</v>
      </c>
      <c r="C233" s="78"/>
      <c r="D233" s="77"/>
    </row>
    <row r="234" spans="2:4" x14ac:dyDescent="0.2">
      <c r="B234" s="80">
        <v>45395</v>
      </c>
      <c r="C234" s="78"/>
      <c r="D234" s="77"/>
    </row>
    <row r="235" spans="2:4" x14ac:dyDescent="0.2">
      <c r="B235" s="80">
        <v>45402</v>
      </c>
      <c r="C235" s="78"/>
      <c r="D235" s="77"/>
    </row>
    <row r="236" spans="2:4" x14ac:dyDescent="0.2">
      <c r="B236" s="80">
        <v>45412</v>
      </c>
      <c r="C236" s="78"/>
      <c r="D236" s="77"/>
    </row>
    <row r="237" spans="2:4" x14ac:dyDescent="0.2">
      <c r="B237" s="80">
        <v>45457</v>
      </c>
      <c r="C237" s="78"/>
      <c r="D237" s="77"/>
    </row>
    <row r="238" spans="2:4" x14ac:dyDescent="0.2">
      <c r="B238" s="80">
        <v>45541</v>
      </c>
      <c r="C238" s="78"/>
      <c r="D238" s="77"/>
    </row>
    <row r="239" spans="2:4" x14ac:dyDescent="0.2">
      <c r="B239" s="80">
        <v>45576</v>
      </c>
      <c r="C239" s="78"/>
      <c r="D239" s="77"/>
    </row>
    <row r="240" spans="2:4" x14ac:dyDescent="0.2">
      <c r="B240" s="80">
        <v>45597</v>
      </c>
      <c r="C240" s="78"/>
      <c r="D240" s="77"/>
    </row>
    <row r="241" spans="2:4" x14ac:dyDescent="0.2">
      <c r="B241" s="80">
        <v>45610</v>
      </c>
      <c r="C241" s="78"/>
      <c r="D241" s="77"/>
    </row>
    <row r="242" spans="2:4" x14ac:dyDescent="0.2">
      <c r="B242" s="80">
        <v>45650</v>
      </c>
      <c r="C242" s="78"/>
      <c r="D242" s="77"/>
    </row>
    <row r="243" spans="2:4" x14ac:dyDescent="0.2">
      <c r="B243" s="80">
        <v>45657</v>
      </c>
      <c r="C243" s="78"/>
      <c r="D243" s="77"/>
    </row>
    <row r="244" spans="2:4" x14ac:dyDescent="0.2">
      <c r="B244" s="80">
        <v>45699</v>
      </c>
      <c r="C244" s="78"/>
      <c r="D244" s="77"/>
    </row>
    <row r="245" spans="2:4" x14ac:dyDescent="0.2">
      <c r="B245" s="80">
        <v>45700</v>
      </c>
      <c r="C245" s="78"/>
      <c r="D245" s="77"/>
    </row>
    <row r="246" spans="2:4" x14ac:dyDescent="0.2">
      <c r="B246" s="80">
        <v>45745</v>
      </c>
      <c r="C246" s="78"/>
      <c r="D246" s="77"/>
    </row>
    <row r="247" spans="2:4" x14ac:dyDescent="0.2">
      <c r="B247" s="80">
        <v>45767</v>
      </c>
      <c r="C247" s="78"/>
      <c r="D247" s="77"/>
    </row>
    <row r="248" spans="2:4" x14ac:dyDescent="0.2">
      <c r="B248" s="80">
        <v>45777</v>
      </c>
      <c r="C248" s="78"/>
      <c r="D248" s="77"/>
    </row>
    <row r="249" spans="2:4" x14ac:dyDescent="0.2">
      <c r="B249" s="80">
        <v>45807</v>
      </c>
      <c r="C249" s="78"/>
      <c r="D249" s="77"/>
    </row>
    <row r="250" spans="2:4" x14ac:dyDescent="0.2">
      <c r="B250" s="80">
        <v>45906</v>
      </c>
      <c r="C250" s="78"/>
      <c r="D250" s="77"/>
    </row>
    <row r="251" spans="2:4" x14ac:dyDescent="0.2">
      <c r="B251" s="80">
        <v>45941</v>
      </c>
      <c r="C251" s="78"/>
      <c r="D251" s="77"/>
    </row>
    <row r="252" spans="2:4" x14ac:dyDescent="0.2">
      <c r="B252" s="80">
        <v>45962</v>
      </c>
      <c r="C252" s="78"/>
      <c r="D252" s="77"/>
    </row>
    <row r="253" spans="2:4" x14ac:dyDescent="0.2">
      <c r="B253" s="80">
        <v>45975</v>
      </c>
      <c r="C253" s="78"/>
      <c r="D253" s="77"/>
    </row>
    <row r="254" spans="2:4" x14ac:dyDescent="0.2">
      <c r="B254" s="80">
        <v>46015</v>
      </c>
      <c r="C254" s="78"/>
      <c r="D254" s="77"/>
    </row>
    <row r="255" spans="2:4" x14ac:dyDescent="0.2">
      <c r="B255" s="80">
        <v>46022</v>
      </c>
      <c r="C255" s="78"/>
      <c r="D255" s="77"/>
    </row>
    <row r="256" spans="2:4" x14ac:dyDescent="0.2">
      <c r="B256" s="80">
        <v>46084</v>
      </c>
      <c r="C256" s="78"/>
      <c r="D256" s="77"/>
    </row>
    <row r="257" spans="2:4" x14ac:dyDescent="0.2">
      <c r="B257" s="80">
        <v>46085</v>
      </c>
      <c r="C257" s="78"/>
      <c r="D257" s="77"/>
    </row>
    <row r="258" spans="2:4" x14ac:dyDescent="0.2">
      <c r="B258" s="80">
        <v>46130</v>
      </c>
      <c r="C258" s="78"/>
      <c r="D258" s="77"/>
    </row>
    <row r="259" spans="2:4" x14ac:dyDescent="0.2">
      <c r="B259" s="80">
        <v>46132</v>
      </c>
      <c r="C259" s="78"/>
      <c r="D259" s="77"/>
    </row>
    <row r="260" spans="2:4" x14ac:dyDescent="0.2">
      <c r="B260" s="80">
        <v>46142</v>
      </c>
      <c r="C260" s="78"/>
      <c r="D260" s="77"/>
    </row>
    <row r="261" spans="2:4" x14ac:dyDescent="0.2">
      <c r="B261" s="80">
        <v>46192</v>
      </c>
      <c r="C261" s="78"/>
      <c r="D261" s="77"/>
    </row>
    <row r="262" spans="2:4" x14ac:dyDescent="0.2">
      <c r="B262" s="80">
        <v>46271</v>
      </c>
      <c r="C262" s="78"/>
      <c r="D262" s="77"/>
    </row>
    <row r="263" spans="2:4" x14ac:dyDescent="0.2">
      <c r="B263" s="80">
        <v>46306</v>
      </c>
      <c r="C263" s="78"/>
      <c r="D263" s="77"/>
    </row>
    <row r="264" spans="2:4" x14ac:dyDescent="0.2">
      <c r="B264" s="80">
        <v>46327</v>
      </c>
      <c r="C264" s="78"/>
      <c r="D264" s="77"/>
    </row>
    <row r="265" spans="2:4" x14ac:dyDescent="0.2">
      <c r="B265" s="80">
        <v>46340</v>
      </c>
      <c r="C265" s="78"/>
      <c r="D265" s="77"/>
    </row>
    <row r="266" spans="2:4" x14ac:dyDescent="0.2">
      <c r="B266" s="80">
        <v>46380</v>
      </c>
      <c r="C266" s="78"/>
      <c r="D266" s="77"/>
    </row>
    <row r="267" spans="2:4" x14ac:dyDescent="0.2">
      <c r="B267" s="80">
        <v>46387</v>
      </c>
      <c r="C267" s="78"/>
      <c r="D267" s="77"/>
    </row>
    <row r="268" spans="2:4" x14ac:dyDescent="0.2">
      <c r="B268" s="80">
        <v>46441</v>
      </c>
      <c r="C268" s="78"/>
      <c r="D268" s="77"/>
    </row>
    <row r="269" spans="2:4" x14ac:dyDescent="0.2">
      <c r="B269" s="80">
        <v>46442</v>
      </c>
      <c r="C269" s="78"/>
      <c r="D269" s="77"/>
    </row>
    <row r="270" spans="2:4" x14ac:dyDescent="0.2">
      <c r="B270" s="80">
        <v>46487</v>
      </c>
      <c r="C270" s="78"/>
      <c r="D270" s="77"/>
    </row>
    <row r="271" spans="2:4" x14ac:dyDescent="0.2">
      <c r="B271" s="80">
        <v>46497</v>
      </c>
      <c r="C271" s="78"/>
      <c r="D271" s="77"/>
    </row>
    <row r="272" spans="2:4" x14ac:dyDescent="0.2">
      <c r="B272" s="80">
        <v>46507</v>
      </c>
      <c r="C272" s="78"/>
      <c r="D272" s="77"/>
    </row>
    <row r="273" spans="2:4" x14ac:dyDescent="0.2">
      <c r="B273" s="80">
        <v>46549</v>
      </c>
      <c r="C273" s="78"/>
      <c r="D273" s="77"/>
    </row>
    <row r="274" spans="2:4" x14ac:dyDescent="0.2">
      <c r="B274" s="80">
        <v>46636</v>
      </c>
      <c r="C274" s="78"/>
      <c r="D274" s="77"/>
    </row>
    <row r="275" spans="2:4" x14ac:dyDescent="0.2">
      <c r="B275" s="80">
        <v>46671</v>
      </c>
      <c r="C275" s="78"/>
      <c r="D275" s="77"/>
    </row>
    <row r="276" spans="2:4" x14ac:dyDescent="0.2">
      <c r="B276" s="80">
        <v>46692</v>
      </c>
      <c r="C276" s="78"/>
      <c r="D276" s="77"/>
    </row>
    <row r="277" spans="2:4" x14ac:dyDescent="0.2">
      <c r="B277" s="80">
        <v>46705</v>
      </c>
      <c r="C277" s="78"/>
      <c r="D277" s="77"/>
    </row>
    <row r="278" spans="2:4" x14ac:dyDescent="0.2">
      <c r="B278" s="80">
        <v>46745</v>
      </c>
      <c r="C278" s="78"/>
      <c r="D278" s="77"/>
    </row>
    <row r="279" spans="2:4" x14ac:dyDescent="0.2">
      <c r="B279" s="80">
        <v>46752</v>
      </c>
      <c r="C279" s="78"/>
      <c r="D279" s="77"/>
    </row>
    <row r="280" spans="2:4" x14ac:dyDescent="0.2">
      <c r="B280" s="80">
        <v>46791</v>
      </c>
      <c r="C280" s="78"/>
      <c r="D280" s="77"/>
    </row>
    <row r="281" spans="2:4" x14ac:dyDescent="0.2">
      <c r="B281" s="80">
        <v>46792</v>
      </c>
      <c r="C281" s="78"/>
      <c r="D281" s="77"/>
    </row>
    <row r="282" spans="2:4" x14ac:dyDescent="0.2">
      <c r="B282" s="80">
        <v>46837</v>
      </c>
      <c r="C282" s="78"/>
      <c r="D282" s="77"/>
    </row>
    <row r="283" spans="2:4" x14ac:dyDescent="0.2">
      <c r="B283" s="80">
        <v>46863</v>
      </c>
      <c r="C283" s="78"/>
      <c r="D283" s="77"/>
    </row>
    <row r="284" spans="2:4" x14ac:dyDescent="0.2">
      <c r="B284" s="80">
        <v>46873</v>
      </c>
      <c r="C284" s="78"/>
      <c r="D284" s="77"/>
    </row>
    <row r="285" spans="2:4" x14ac:dyDescent="0.2">
      <c r="B285" s="80">
        <v>46899</v>
      </c>
      <c r="C285" s="78"/>
      <c r="D285" s="77"/>
    </row>
    <row r="286" spans="2:4" x14ac:dyDescent="0.2">
      <c r="B286" s="80">
        <v>47002</v>
      </c>
      <c r="C286" s="78"/>
      <c r="D286" s="77"/>
    </row>
    <row r="287" spans="2:4" x14ac:dyDescent="0.2">
      <c r="B287" s="80">
        <v>47037</v>
      </c>
      <c r="C287" s="78"/>
      <c r="D287" s="77"/>
    </row>
    <row r="288" spans="2:4" x14ac:dyDescent="0.2">
      <c r="B288" s="80">
        <v>47058</v>
      </c>
      <c r="C288" s="78"/>
      <c r="D288" s="77"/>
    </row>
    <row r="289" spans="2:4" x14ac:dyDescent="0.2">
      <c r="B289" s="80">
        <v>47071</v>
      </c>
      <c r="C289" s="78"/>
      <c r="D289" s="77"/>
    </row>
    <row r="290" spans="2:4" x14ac:dyDescent="0.2">
      <c r="B290" s="80">
        <v>47111</v>
      </c>
      <c r="C290" s="78"/>
      <c r="D290" s="77"/>
    </row>
    <row r="291" spans="2:4" x14ac:dyDescent="0.2">
      <c r="B291" s="80">
        <v>47118</v>
      </c>
      <c r="C291" s="78"/>
      <c r="D291" s="77"/>
    </row>
    <row r="292" spans="2:4" x14ac:dyDescent="0.2">
      <c r="B292" s="80">
        <v>47176</v>
      </c>
      <c r="C292" s="78"/>
      <c r="D292" s="77"/>
    </row>
    <row r="293" spans="2:4" x14ac:dyDescent="0.2">
      <c r="B293" s="80">
        <v>47177</v>
      </c>
      <c r="C293" s="78"/>
      <c r="D293" s="77"/>
    </row>
    <row r="294" spans="2:4" x14ac:dyDescent="0.2">
      <c r="B294" s="80">
        <v>47222</v>
      </c>
      <c r="C294" s="78"/>
      <c r="D294" s="77"/>
    </row>
    <row r="295" spans="2:4" x14ac:dyDescent="0.2">
      <c r="B295" s="80">
        <v>47228</v>
      </c>
      <c r="C295" s="78"/>
      <c r="D295" s="77"/>
    </row>
    <row r="296" spans="2:4" x14ac:dyDescent="0.2">
      <c r="B296" s="80">
        <v>47238</v>
      </c>
      <c r="C296" s="78"/>
      <c r="D296" s="77"/>
    </row>
    <row r="297" spans="2:4" x14ac:dyDescent="0.2">
      <c r="B297" s="80">
        <v>47284</v>
      </c>
      <c r="C297" s="78"/>
      <c r="D297" s="77"/>
    </row>
    <row r="298" spans="2:4" x14ac:dyDescent="0.2">
      <c r="B298" s="80">
        <v>47367</v>
      </c>
      <c r="C298" s="78"/>
      <c r="D298" s="77"/>
    </row>
    <row r="299" spans="2:4" x14ac:dyDescent="0.2">
      <c r="B299" s="80">
        <v>47402</v>
      </c>
      <c r="C299" s="78"/>
      <c r="D299" s="77"/>
    </row>
    <row r="300" spans="2:4" x14ac:dyDescent="0.2">
      <c r="B300" s="80">
        <v>47423</v>
      </c>
      <c r="C300" s="78"/>
      <c r="D300" s="77"/>
    </row>
    <row r="301" spans="2:4" x14ac:dyDescent="0.2">
      <c r="B301" s="80">
        <v>47436</v>
      </c>
      <c r="C301" s="78"/>
      <c r="D301" s="77"/>
    </row>
    <row r="302" spans="2:4" x14ac:dyDescent="0.2">
      <c r="B302" s="80">
        <v>47476</v>
      </c>
      <c r="C302" s="78"/>
      <c r="D302" s="77"/>
    </row>
    <row r="303" spans="2:4" x14ac:dyDescent="0.2">
      <c r="B303" s="80">
        <v>47483</v>
      </c>
      <c r="C303" s="78"/>
      <c r="D303" s="77"/>
    </row>
    <row r="304" spans="2:4" x14ac:dyDescent="0.2">
      <c r="B304" s="80">
        <v>47533</v>
      </c>
      <c r="C304" s="78"/>
      <c r="D304" s="77"/>
    </row>
    <row r="305" spans="2:4" x14ac:dyDescent="0.2">
      <c r="B305" s="80">
        <v>47534</v>
      </c>
      <c r="C305" s="78"/>
      <c r="D305" s="77"/>
    </row>
    <row r="306" spans="2:4" x14ac:dyDescent="0.2">
      <c r="B306" s="80">
        <v>47579</v>
      </c>
      <c r="C306" s="78"/>
      <c r="D306" s="77"/>
    </row>
    <row r="307" spans="2:4" x14ac:dyDescent="0.2">
      <c r="B307" s="80">
        <v>47593</v>
      </c>
      <c r="C307" s="78"/>
      <c r="D307" s="77"/>
    </row>
    <row r="308" spans="2:4" x14ac:dyDescent="0.2">
      <c r="B308" s="80">
        <v>47603</v>
      </c>
      <c r="C308" s="78"/>
      <c r="D308" s="77"/>
    </row>
    <row r="309" spans="2:4" x14ac:dyDescent="0.2">
      <c r="B309" s="80">
        <v>47641</v>
      </c>
      <c r="C309" s="78"/>
      <c r="D309" s="77"/>
    </row>
    <row r="310" spans="2:4" x14ac:dyDescent="0.2">
      <c r="B310" s="80">
        <v>47732</v>
      </c>
      <c r="C310" s="78"/>
      <c r="D310" s="77"/>
    </row>
    <row r="311" spans="2:4" x14ac:dyDescent="0.2">
      <c r="B311" s="80">
        <v>47767</v>
      </c>
      <c r="C311" s="78"/>
      <c r="D311" s="77"/>
    </row>
    <row r="312" spans="2:4" x14ac:dyDescent="0.2">
      <c r="B312" s="80">
        <v>47788</v>
      </c>
      <c r="C312" s="78"/>
      <c r="D312" s="77"/>
    </row>
    <row r="313" spans="2:4" x14ac:dyDescent="0.2">
      <c r="B313" s="80">
        <v>47801</v>
      </c>
      <c r="C313" s="78"/>
      <c r="D313" s="77"/>
    </row>
    <row r="314" spans="2:4" x14ac:dyDescent="0.2">
      <c r="B314" s="80">
        <v>47841</v>
      </c>
      <c r="C314" s="78"/>
      <c r="D314" s="77"/>
    </row>
    <row r="315" spans="2:4" x14ac:dyDescent="0.2">
      <c r="B315" s="80">
        <v>47848</v>
      </c>
      <c r="C315" s="78"/>
      <c r="D315" s="77"/>
    </row>
    <row r="316" spans="2:4" x14ac:dyDescent="0.2">
      <c r="B316" s="80">
        <v>47883</v>
      </c>
      <c r="C316" s="78"/>
      <c r="D316" s="77"/>
    </row>
    <row r="317" spans="2:4" x14ac:dyDescent="0.2">
      <c r="B317" s="80">
        <v>47884</v>
      </c>
      <c r="C317" s="78"/>
      <c r="D317" s="77"/>
    </row>
    <row r="318" spans="2:4" x14ac:dyDescent="0.2">
      <c r="B318" s="80">
        <v>47929</v>
      </c>
      <c r="C318" s="78"/>
      <c r="D318" s="77"/>
    </row>
    <row r="319" spans="2:4" x14ac:dyDescent="0.2">
      <c r="B319" s="80">
        <v>47958</v>
      </c>
      <c r="C319" s="78"/>
      <c r="D319" s="77"/>
    </row>
    <row r="320" spans="2:4" x14ac:dyDescent="0.2">
      <c r="B320" s="80">
        <v>47968</v>
      </c>
      <c r="C320" s="78"/>
      <c r="D320" s="77"/>
    </row>
    <row r="321" spans="2:4" x14ac:dyDescent="0.2">
      <c r="B321" s="80">
        <v>47991</v>
      </c>
      <c r="C321" s="78"/>
      <c r="D321" s="77"/>
    </row>
    <row r="322" spans="2:4" x14ac:dyDescent="0.2">
      <c r="B322" s="80">
        <v>48097</v>
      </c>
      <c r="C322" s="78"/>
      <c r="D322" s="77"/>
    </row>
    <row r="323" spans="2:4" x14ac:dyDescent="0.2">
      <c r="B323" s="80">
        <v>48132</v>
      </c>
      <c r="C323" s="78"/>
      <c r="D323" s="77"/>
    </row>
    <row r="324" spans="2:4" x14ac:dyDescent="0.2">
      <c r="B324" s="80">
        <v>48153</v>
      </c>
      <c r="C324" s="78"/>
      <c r="D324" s="77"/>
    </row>
    <row r="325" spans="2:4" x14ac:dyDescent="0.2">
      <c r="B325" s="80">
        <v>48166</v>
      </c>
      <c r="C325" s="78"/>
      <c r="D325" s="77"/>
    </row>
    <row r="326" spans="2:4" x14ac:dyDescent="0.2">
      <c r="B326" s="80">
        <v>48206</v>
      </c>
      <c r="C326" s="78"/>
      <c r="D326" s="77"/>
    </row>
    <row r="327" spans="2:4" x14ac:dyDescent="0.2">
      <c r="B327" s="80">
        <v>48213</v>
      </c>
      <c r="C327" s="78"/>
      <c r="D327" s="77"/>
    </row>
    <row r="328" spans="2:4" x14ac:dyDescent="0.2">
      <c r="B328" s="80">
        <v>48268</v>
      </c>
      <c r="C328" s="78"/>
      <c r="D328" s="77"/>
    </row>
    <row r="329" spans="2:4" x14ac:dyDescent="0.2">
      <c r="B329" s="80">
        <v>48269</v>
      </c>
      <c r="C329" s="78"/>
      <c r="D329" s="77"/>
    </row>
    <row r="330" spans="2:4" x14ac:dyDescent="0.2">
      <c r="B330" s="80">
        <v>48314</v>
      </c>
      <c r="C330" s="78"/>
      <c r="D330" s="77"/>
    </row>
    <row r="331" spans="2:4" x14ac:dyDescent="0.2">
      <c r="B331" s="80">
        <v>48324</v>
      </c>
      <c r="C331" s="78"/>
      <c r="D331" s="77"/>
    </row>
    <row r="332" spans="2:4" x14ac:dyDescent="0.2">
      <c r="B332" s="80">
        <v>48334</v>
      </c>
      <c r="C332" s="78"/>
      <c r="D332" s="77"/>
    </row>
    <row r="333" spans="2:4" x14ac:dyDescent="0.2">
      <c r="B333" s="80">
        <v>48376</v>
      </c>
      <c r="C333" s="78"/>
      <c r="D333" s="77"/>
    </row>
    <row r="334" spans="2:4" x14ac:dyDescent="0.2">
      <c r="B334" s="80">
        <v>48463</v>
      </c>
      <c r="C334" s="78"/>
      <c r="D334" s="77"/>
    </row>
    <row r="335" spans="2:4" x14ac:dyDescent="0.2">
      <c r="B335" s="80">
        <v>48498</v>
      </c>
      <c r="C335" s="78"/>
      <c r="D335" s="77"/>
    </row>
    <row r="336" spans="2:4" x14ac:dyDescent="0.2">
      <c r="B336" s="80">
        <v>48519</v>
      </c>
      <c r="C336" s="78"/>
      <c r="D336" s="77"/>
    </row>
    <row r="337" spans="2:4" x14ac:dyDescent="0.2">
      <c r="B337" s="80">
        <v>48532</v>
      </c>
      <c r="C337" s="78"/>
      <c r="D337" s="77"/>
    </row>
    <row r="338" spans="2:4" x14ac:dyDescent="0.2">
      <c r="B338" s="80">
        <v>48572</v>
      </c>
      <c r="C338" s="78"/>
      <c r="D338" s="77"/>
    </row>
    <row r="339" spans="2:4" x14ac:dyDescent="0.2">
      <c r="B339" s="80">
        <v>48579</v>
      </c>
      <c r="C339" s="78"/>
      <c r="D339" s="77"/>
    </row>
    <row r="340" spans="2:4" x14ac:dyDescent="0.2">
      <c r="B340" s="80">
        <v>48625</v>
      </c>
      <c r="C340" s="78"/>
      <c r="D340" s="77"/>
    </row>
    <row r="341" spans="2:4" x14ac:dyDescent="0.2">
      <c r="B341" s="80">
        <v>48626</v>
      </c>
      <c r="C341" s="78"/>
      <c r="D341" s="77"/>
    </row>
    <row r="342" spans="2:4" x14ac:dyDescent="0.2">
      <c r="B342" s="80">
        <v>48671</v>
      </c>
      <c r="C342" s="78"/>
      <c r="D342" s="77"/>
    </row>
    <row r="343" spans="2:4" x14ac:dyDescent="0.2">
      <c r="B343" s="80">
        <v>48689</v>
      </c>
      <c r="C343" s="78"/>
      <c r="D343" s="77"/>
    </row>
    <row r="344" spans="2:4" x14ac:dyDescent="0.2">
      <c r="B344" s="80">
        <v>48699</v>
      </c>
      <c r="C344" s="78"/>
      <c r="D344" s="77"/>
    </row>
    <row r="345" spans="2:4" x14ac:dyDescent="0.2">
      <c r="B345" s="80">
        <v>48733</v>
      </c>
      <c r="C345" s="78"/>
      <c r="D345" s="77"/>
    </row>
    <row r="346" spans="2:4" x14ac:dyDescent="0.2">
      <c r="B346" s="80">
        <v>48828</v>
      </c>
      <c r="C346" s="78"/>
      <c r="D346" s="77"/>
    </row>
    <row r="347" spans="2:4" x14ac:dyDescent="0.2">
      <c r="B347" s="80">
        <v>48863</v>
      </c>
      <c r="C347" s="78"/>
      <c r="D347" s="77"/>
    </row>
    <row r="348" spans="2:4" x14ac:dyDescent="0.2">
      <c r="B348" s="80">
        <v>48884</v>
      </c>
      <c r="C348" s="78"/>
      <c r="D348" s="77"/>
    </row>
    <row r="349" spans="2:4" x14ac:dyDescent="0.2">
      <c r="B349" s="80">
        <v>48897</v>
      </c>
      <c r="C349" s="78"/>
      <c r="D349" s="77"/>
    </row>
    <row r="350" spans="2:4" x14ac:dyDescent="0.2">
      <c r="B350" s="80">
        <v>48937</v>
      </c>
      <c r="C350" s="78"/>
      <c r="D350" s="77"/>
    </row>
    <row r="351" spans="2:4" x14ac:dyDescent="0.2">
      <c r="B351" s="80">
        <v>48944</v>
      </c>
      <c r="C351" s="78"/>
      <c r="D351" s="77"/>
    </row>
    <row r="352" spans="2:4" x14ac:dyDescent="0.2">
      <c r="B352" s="80">
        <v>49010</v>
      </c>
      <c r="C352" s="78"/>
      <c r="D352" s="77"/>
    </row>
    <row r="353" spans="2:4" x14ac:dyDescent="0.2">
      <c r="B353" s="80">
        <v>49011</v>
      </c>
      <c r="C353" s="78"/>
      <c r="D353" s="77"/>
    </row>
    <row r="354" spans="2:4" x14ac:dyDescent="0.2">
      <c r="B354" s="80">
        <v>49056</v>
      </c>
      <c r="C354" s="78"/>
      <c r="D354" s="77"/>
    </row>
    <row r="355" spans="2:4" x14ac:dyDescent="0.2">
      <c r="B355" s="80">
        <v>49054</v>
      </c>
      <c r="C355" s="78"/>
      <c r="D355" s="77"/>
    </row>
    <row r="356" spans="2:4" x14ac:dyDescent="0.2">
      <c r="B356" s="80">
        <v>49064</v>
      </c>
      <c r="C356" s="78"/>
      <c r="D356" s="77"/>
    </row>
    <row r="357" spans="2:4" x14ac:dyDescent="0.2">
      <c r="B357" s="80">
        <v>49118</v>
      </c>
      <c r="C357" s="78"/>
      <c r="D357" s="77"/>
    </row>
    <row r="358" spans="2:4" x14ac:dyDescent="0.2">
      <c r="B358" s="80">
        <v>49193</v>
      </c>
      <c r="C358" s="78"/>
      <c r="D358" s="77"/>
    </row>
    <row r="359" spans="2:4" x14ac:dyDescent="0.2">
      <c r="B359" s="80">
        <v>49228</v>
      </c>
      <c r="C359" s="78"/>
      <c r="D359" s="77"/>
    </row>
    <row r="360" spans="2:4" x14ac:dyDescent="0.2">
      <c r="B360" s="80">
        <v>49249</v>
      </c>
      <c r="C360" s="78"/>
      <c r="D360" s="77"/>
    </row>
    <row r="361" spans="2:4" x14ac:dyDescent="0.2">
      <c r="B361" s="80">
        <v>49262</v>
      </c>
      <c r="C361" s="78"/>
      <c r="D361" s="77"/>
    </row>
    <row r="362" spans="2:4" x14ac:dyDescent="0.2">
      <c r="B362" s="80">
        <v>49302</v>
      </c>
      <c r="C362" s="78"/>
      <c r="D362" s="77"/>
    </row>
    <row r="363" spans="2:4" x14ac:dyDescent="0.2">
      <c r="B363" s="80">
        <v>49309</v>
      </c>
      <c r="C363" s="78"/>
      <c r="D363" s="77"/>
    </row>
    <row r="364" spans="2:4" x14ac:dyDescent="0.2">
      <c r="B364" s="80">
        <v>49360</v>
      </c>
      <c r="C364" s="78"/>
      <c r="D364" s="77"/>
    </row>
    <row r="365" spans="2:4" x14ac:dyDescent="0.2">
      <c r="B365" s="80">
        <v>49361</v>
      </c>
      <c r="C365" s="78"/>
      <c r="D365" s="77"/>
    </row>
    <row r="366" spans="2:4" x14ac:dyDescent="0.2">
      <c r="B366" s="80">
        <v>49406</v>
      </c>
      <c r="C366" s="78"/>
      <c r="D366" s="77"/>
    </row>
    <row r="367" spans="2:4" x14ac:dyDescent="0.2">
      <c r="B367" s="80">
        <v>49419</v>
      </c>
      <c r="C367" s="78"/>
      <c r="D367" s="77"/>
    </row>
    <row r="368" spans="2:4" x14ac:dyDescent="0.2">
      <c r="B368" s="80">
        <v>49429</v>
      </c>
      <c r="C368" s="78"/>
      <c r="D368" s="77"/>
    </row>
    <row r="369" spans="2:4" x14ac:dyDescent="0.2">
      <c r="B369" s="80">
        <v>49468</v>
      </c>
      <c r="C369" s="78"/>
      <c r="D369" s="77"/>
    </row>
    <row r="370" spans="2:4" x14ac:dyDescent="0.2">
      <c r="B370" s="80">
        <v>49558</v>
      </c>
      <c r="C370" s="78"/>
      <c r="D370" s="77"/>
    </row>
    <row r="371" spans="2:4" x14ac:dyDescent="0.2">
      <c r="B371" s="80">
        <v>49593</v>
      </c>
      <c r="C371" s="78"/>
      <c r="D371" s="77"/>
    </row>
    <row r="372" spans="2:4" x14ac:dyDescent="0.2">
      <c r="B372" s="80">
        <v>49614</v>
      </c>
      <c r="C372" s="78"/>
      <c r="D372" s="77"/>
    </row>
    <row r="373" spans="2:4" x14ac:dyDescent="0.2">
      <c r="B373" s="80">
        <v>49627</v>
      </c>
      <c r="C373" s="78"/>
      <c r="D373" s="77"/>
    </row>
    <row r="374" spans="2:4" x14ac:dyDescent="0.2">
      <c r="B374" s="80">
        <v>49667</v>
      </c>
      <c r="C374" s="78"/>
      <c r="D374" s="77"/>
    </row>
    <row r="375" spans="2:4" x14ac:dyDescent="0.2">
      <c r="B375" s="80">
        <v>49674</v>
      </c>
      <c r="C375" s="78"/>
      <c r="D375" s="77"/>
    </row>
    <row r="376" spans="2:4" x14ac:dyDescent="0.2">
      <c r="B376" s="80">
        <v>49717</v>
      </c>
      <c r="C376" s="78"/>
      <c r="D376" s="77"/>
    </row>
    <row r="377" spans="2:4" x14ac:dyDescent="0.2">
      <c r="B377" s="80">
        <v>49718</v>
      </c>
      <c r="C377" s="78"/>
      <c r="D377" s="77"/>
    </row>
    <row r="378" spans="2:4" x14ac:dyDescent="0.2">
      <c r="B378" s="80">
        <v>49763</v>
      </c>
      <c r="C378" s="78"/>
      <c r="D378" s="77"/>
    </row>
    <row r="379" spans="2:4" x14ac:dyDescent="0.2">
      <c r="B379" s="80">
        <v>49785</v>
      </c>
      <c r="C379" s="78"/>
      <c r="D379" s="77"/>
    </row>
    <row r="380" spans="2:4" x14ac:dyDescent="0.2">
      <c r="B380" s="80">
        <v>49795</v>
      </c>
      <c r="C380" s="78"/>
      <c r="D380" s="77"/>
    </row>
    <row r="381" spans="2:4" x14ac:dyDescent="0.2">
      <c r="B381" s="80">
        <v>49825</v>
      </c>
      <c r="C381" s="78"/>
      <c r="D381" s="77"/>
    </row>
    <row r="382" spans="2:4" x14ac:dyDescent="0.2">
      <c r="B382" s="80">
        <v>49924</v>
      </c>
      <c r="C382" s="78"/>
      <c r="D382" s="77"/>
    </row>
    <row r="383" spans="2:4" x14ac:dyDescent="0.2">
      <c r="B383" s="80">
        <v>49959</v>
      </c>
      <c r="C383" s="78"/>
      <c r="D383" s="77"/>
    </row>
    <row r="384" spans="2:4" x14ac:dyDescent="0.2">
      <c r="B384" s="80">
        <v>49980</v>
      </c>
      <c r="C384" s="78"/>
      <c r="D384" s="77"/>
    </row>
    <row r="385" spans="2:4" x14ac:dyDescent="0.2">
      <c r="B385" s="80">
        <v>49993</v>
      </c>
      <c r="C385" s="78"/>
      <c r="D385" s="77"/>
    </row>
    <row r="386" spans="2:4" x14ac:dyDescent="0.2">
      <c r="B386" s="80">
        <v>50033</v>
      </c>
      <c r="C386" s="78"/>
      <c r="D386" s="77"/>
    </row>
    <row r="387" spans="2:4" x14ac:dyDescent="0.2">
      <c r="B387" s="80">
        <v>50040</v>
      </c>
      <c r="C387" s="78"/>
      <c r="D387" s="77"/>
    </row>
    <row r="388" spans="2:4" x14ac:dyDescent="0.2">
      <c r="B388" s="80">
        <v>50102</v>
      </c>
      <c r="C388" s="78"/>
      <c r="D388" s="77"/>
    </row>
    <row r="389" spans="2:4" x14ac:dyDescent="0.2">
      <c r="B389" s="80">
        <v>50103</v>
      </c>
      <c r="C389" s="78"/>
      <c r="D389" s="77"/>
    </row>
    <row r="390" spans="2:4" x14ac:dyDescent="0.2">
      <c r="B390" s="80">
        <v>50148</v>
      </c>
      <c r="C390" s="78"/>
      <c r="D390" s="77"/>
    </row>
    <row r="391" spans="2:4" x14ac:dyDescent="0.2">
      <c r="B391" s="80">
        <v>50150</v>
      </c>
      <c r="C391" s="78"/>
      <c r="D391" s="77"/>
    </row>
    <row r="392" spans="2:4" x14ac:dyDescent="0.2">
      <c r="B392" s="80">
        <v>50160</v>
      </c>
      <c r="C392" s="78"/>
      <c r="D392" s="77"/>
    </row>
    <row r="393" spans="2:4" x14ac:dyDescent="0.2">
      <c r="B393" s="80">
        <v>50210</v>
      </c>
      <c r="C393" s="78"/>
      <c r="D393" s="77"/>
    </row>
    <row r="394" spans="2:4" x14ac:dyDescent="0.2">
      <c r="B394" s="80">
        <v>50289</v>
      </c>
      <c r="C394" s="78"/>
      <c r="D394" s="77"/>
    </row>
    <row r="395" spans="2:4" x14ac:dyDescent="0.2">
      <c r="B395" s="80">
        <v>50324</v>
      </c>
      <c r="C395" s="78"/>
      <c r="D395" s="77"/>
    </row>
    <row r="396" spans="2:4" x14ac:dyDescent="0.2">
      <c r="B396" s="80">
        <v>50345</v>
      </c>
      <c r="C396" s="78"/>
      <c r="D396" s="77"/>
    </row>
    <row r="397" spans="2:4" x14ac:dyDescent="0.2">
      <c r="B397" s="80">
        <v>50358</v>
      </c>
      <c r="C397" s="78"/>
      <c r="D397" s="77"/>
    </row>
    <row r="398" spans="2:4" x14ac:dyDescent="0.2">
      <c r="B398" s="80">
        <v>50398</v>
      </c>
      <c r="C398" s="78"/>
      <c r="D398" s="77"/>
    </row>
    <row r="399" spans="2:4" x14ac:dyDescent="0.2">
      <c r="B399" s="80">
        <v>50405</v>
      </c>
      <c r="C399" s="78"/>
      <c r="D399" s="77"/>
    </row>
    <row r="400" spans="2:4" x14ac:dyDescent="0.2">
      <c r="B400" s="80">
        <v>50452</v>
      </c>
      <c r="C400" s="78"/>
      <c r="D400" s="77"/>
    </row>
    <row r="401" spans="2:4" x14ac:dyDescent="0.2">
      <c r="B401" s="80">
        <v>50453</v>
      </c>
      <c r="C401" s="78"/>
      <c r="D401" s="77"/>
    </row>
    <row r="402" spans="2:4" x14ac:dyDescent="0.2">
      <c r="B402" s="80">
        <v>50498</v>
      </c>
      <c r="C402" s="78"/>
      <c r="D402" s="77"/>
    </row>
    <row r="403" spans="2:4" x14ac:dyDescent="0.2">
      <c r="B403" s="80">
        <v>50515</v>
      </c>
      <c r="C403" s="78"/>
      <c r="D403" s="77"/>
    </row>
    <row r="404" spans="2:4" x14ac:dyDescent="0.2">
      <c r="B404" s="80">
        <v>50525</v>
      </c>
      <c r="C404" s="78"/>
      <c r="D404" s="77"/>
    </row>
    <row r="405" spans="2:4" x14ac:dyDescent="0.2">
      <c r="B405" s="80">
        <v>50560</v>
      </c>
      <c r="C405" s="78"/>
      <c r="D405" s="77"/>
    </row>
    <row r="406" spans="2:4" x14ac:dyDescent="0.2">
      <c r="B406" s="80">
        <v>50654</v>
      </c>
      <c r="C406" s="78"/>
      <c r="D406" s="77"/>
    </row>
    <row r="407" spans="2:4" x14ac:dyDescent="0.2">
      <c r="B407" s="80">
        <v>50689</v>
      </c>
      <c r="C407" s="78"/>
      <c r="D407" s="77"/>
    </row>
    <row r="408" spans="2:4" x14ac:dyDescent="0.2">
      <c r="B408" s="80">
        <v>50710</v>
      </c>
      <c r="C408" s="78"/>
      <c r="D408" s="77"/>
    </row>
    <row r="409" spans="2:4" x14ac:dyDescent="0.2">
      <c r="B409" s="80">
        <v>50723</v>
      </c>
      <c r="C409" s="78"/>
      <c r="D409" s="77"/>
    </row>
    <row r="410" spans="2:4" x14ac:dyDescent="0.2">
      <c r="B410" s="80">
        <v>50763</v>
      </c>
      <c r="C410" s="78"/>
      <c r="D410" s="77"/>
    </row>
    <row r="411" spans="2:4" x14ac:dyDescent="0.2">
      <c r="B411" s="80">
        <v>50770</v>
      </c>
      <c r="C411" s="78"/>
      <c r="D411" s="77"/>
    </row>
    <row r="412" spans="2:4" x14ac:dyDescent="0.2">
      <c r="B412" s="80">
        <v>50809</v>
      </c>
      <c r="C412" s="78"/>
      <c r="D412" s="77"/>
    </row>
    <row r="413" spans="2:4" x14ac:dyDescent="0.2">
      <c r="B413" s="80">
        <v>50810</v>
      </c>
      <c r="C413" s="78"/>
      <c r="D413" s="77"/>
    </row>
    <row r="414" spans="2:4" x14ac:dyDescent="0.2">
      <c r="B414" s="80">
        <v>50855</v>
      </c>
      <c r="C414" s="78"/>
      <c r="D414" s="77"/>
    </row>
    <row r="415" spans="2:4" x14ac:dyDescent="0.2">
      <c r="B415" s="80">
        <v>50880</v>
      </c>
      <c r="C415" s="78"/>
      <c r="D415" s="77"/>
    </row>
    <row r="416" spans="2:4" x14ac:dyDescent="0.2">
      <c r="B416" s="80">
        <v>50890</v>
      </c>
      <c r="C416" s="78"/>
      <c r="D416" s="77"/>
    </row>
    <row r="417" spans="2:4" x14ac:dyDescent="0.2">
      <c r="B417" s="80">
        <v>50917</v>
      </c>
      <c r="C417" s="78"/>
      <c r="D417" s="77"/>
    </row>
    <row r="418" spans="2:4" x14ac:dyDescent="0.2">
      <c r="B418" s="80">
        <v>51019</v>
      </c>
      <c r="C418" s="78"/>
      <c r="D418" s="77"/>
    </row>
    <row r="419" spans="2:4" x14ac:dyDescent="0.2">
      <c r="B419" s="80">
        <v>51054</v>
      </c>
      <c r="C419" s="78"/>
      <c r="D419" s="77"/>
    </row>
    <row r="420" spans="2:4" x14ac:dyDescent="0.2">
      <c r="B420" s="80">
        <v>51075</v>
      </c>
      <c r="C420" s="78"/>
      <c r="D420" s="77"/>
    </row>
    <row r="421" spans="2:4" x14ac:dyDescent="0.2">
      <c r="B421" s="80">
        <v>51088</v>
      </c>
      <c r="C421" s="78"/>
      <c r="D421" s="77"/>
    </row>
    <row r="422" spans="2:4" x14ac:dyDescent="0.2">
      <c r="B422" s="80">
        <v>51128</v>
      </c>
      <c r="C422" s="78"/>
      <c r="D422" s="77"/>
    </row>
    <row r="423" spans="2:4" x14ac:dyDescent="0.2">
      <c r="B423" s="80">
        <v>51135</v>
      </c>
      <c r="C423" s="78"/>
      <c r="D423" s="77"/>
    </row>
    <row r="424" spans="2:4" x14ac:dyDescent="0.2">
      <c r="B424" s="80">
        <v>51194</v>
      </c>
      <c r="C424" s="78"/>
      <c r="D424" s="77"/>
    </row>
    <row r="425" spans="2:4" x14ac:dyDescent="0.2">
      <c r="B425" s="80">
        <v>51195</v>
      </c>
      <c r="C425" s="78"/>
      <c r="D425" s="77"/>
    </row>
    <row r="426" spans="2:4" x14ac:dyDescent="0.2">
      <c r="B426" s="80">
        <v>51240</v>
      </c>
      <c r="C426" s="78"/>
      <c r="D426" s="77"/>
    </row>
    <row r="427" spans="2:4" x14ac:dyDescent="0.2">
      <c r="B427" s="80">
        <v>51246</v>
      </c>
      <c r="C427" s="78"/>
      <c r="D427" s="77"/>
    </row>
    <row r="428" spans="2:4" x14ac:dyDescent="0.2">
      <c r="B428" s="80">
        <v>51256</v>
      </c>
      <c r="C428" s="78"/>
      <c r="D428" s="77"/>
    </row>
    <row r="429" spans="2:4" x14ac:dyDescent="0.2">
      <c r="B429" s="80">
        <v>51302</v>
      </c>
      <c r="C429" s="78"/>
      <c r="D429" s="77"/>
    </row>
    <row r="430" spans="2:4" x14ac:dyDescent="0.2">
      <c r="B430" s="80">
        <v>51385</v>
      </c>
      <c r="C430" s="78"/>
      <c r="D430" s="77"/>
    </row>
    <row r="431" spans="2:4" x14ac:dyDescent="0.2">
      <c r="B431" s="80">
        <v>51420</v>
      </c>
      <c r="C431" s="78"/>
      <c r="D431" s="77"/>
    </row>
    <row r="432" spans="2:4" x14ac:dyDescent="0.2">
      <c r="B432" s="80">
        <v>51441</v>
      </c>
      <c r="C432" s="78"/>
      <c r="D432" s="77"/>
    </row>
    <row r="433" spans="2:4" x14ac:dyDescent="0.2">
      <c r="B433" s="80">
        <v>51454</v>
      </c>
      <c r="C433" s="78"/>
      <c r="D433" s="77"/>
    </row>
    <row r="434" spans="2:4" x14ac:dyDescent="0.2">
      <c r="B434" s="80">
        <v>51494</v>
      </c>
      <c r="C434" s="78"/>
      <c r="D434" s="77"/>
    </row>
    <row r="435" spans="2:4" x14ac:dyDescent="0.2">
      <c r="B435" s="80">
        <v>51501</v>
      </c>
      <c r="C435" s="78"/>
      <c r="D435" s="77"/>
    </row>
    <row r="436" spans="2:4" x14ac:dyDescent="0.2">
      <c r="B436" s="80">
        <v>51551</v>
      </c>
      <c r="C436" s="78"/>
      <c r="D436" s="77"/>
    </row>
    <row r="437" spans="2:4" x14ac:dyDescent="0.2">
      <c r="B437" s="80">
        <v>51552</v>
      </c>
      <c r="C437" s="78"/>
      <c r="D437" s="77"/>
    </row>
    <row r="438" spans="2:4" x14ac:dyDescent="0.2">
      <c r="B438" s="80">
        <v>51597</v>
      </c>
      <c r="C438" s="78"/>
      <c r="D438" s="77"/>
    </row>
    <row r="439" spans="2:4" x14ac:dyDescent="0.2">
      <c r="B439" s="80">
        <v>51611</v>
      </c>
      <c r="C439" s="78"/>
      <c r="D439" s="77"/>
    </row>
    <row r="440" spans="2:4" x14ac:dyDescent="0.2">
      <c r="B440" s="80">
        <v>51621</v>
      </c>
      <c r="C440" s="78"/>
      <c r="D440" s="77"/>
    </row>
    <row r="441" spans="2:4" x14ac:dyDescent="0.2">
      <c r="B441" s="80">
        <v>51659</v>
      </c>
      <c r="C441" s="78"/>
      <c r="D441" s="77"/>
    </row>
    <row r="442" spans="2:4" x14ac:dyDescent="0.2">
      <c r="B442" s="80">
        <v>51750</v>
      </c>
      <c r="C442" s="78"/>
      <c r="D442" s="77"/>
    </row>
    <row r="443" spans="2:4" x14ac:dyDescent="0.2">
      <c r="B443" s="80">
        <v>51785</v>
      </c>
      <c r="C443" s="78"/>
      <c r="D443" s="77"/>
    </row>
    <row r="444" spans="2:4" x14ac:dyDescent="0.2">
      <c r="B444" s="80">
        <v>51806</v>
      </c>
      <c r="C444" s="78"/>
      <c r="D444" s="77"/>
    </row>
    <row r="445" spans="2:4" x14ac:dyDescent="0.2">
      <c r="B445" s="80">
        <v>51819</v>
      </c>
      <c r="C445" s="78"/>
      <c r="D445" s="77"/>
    </row>
    <row r="446" spans="2:4" x14ac:dyDescent="0.2">
      <c r="B446" s="80">
        <v>51859</v>
      </c>
      <c r="C446" s="78"/>
      <c r="D446" s="77"/>
    </row>
    <row r="447" spans="2:4" x14ac:dyDescent="0.2">
      <c r="B447" s="80">
        <v>51866</v>
      </c>
      <c r="C447" s="78"/>
      <c r="D447" s="77"/>
    </row>
    <row r="448" spans="2:4" x14ac:dyDescent="0.2">
      <c r="B448" s="80">
        <v>51901</v>
      </c>
      <c r="C448" s="78"/>
      <c r="D448" s="77"/>
    </row>
    <row r="449" spans="2:4" x14ac:dyDescent="0.2">
      <c r="B449" s="80">
        <v>51902</v>
      </c>
      <c r="C449" s="78"/>
      <c r="D449" s="77"/>
    </row>
    <row r="450" spans="2:4" x14ac:dyDescent="0.2">
      <c r="B450" s="80">
        <v>51947</v>
      </c>
      <c r="C450" s="78"/>
      <c r="D450" s="77"/>
    </row>
    <row r="451" spans="2:4" x14ac:dyDescent="0.2">
      <c r="B451" s="80">
        <v>51976</v>
      </c>
      <c r="C451" s="78"/>
      <c r="D451" s="77"/>
    </row>
    <row r="452" spans="2:4" x14ac:dyDescent="0.2">
      <c r="B452" s="80">
        <v>51986</v>
      </c>
      <c r="C452" s="78"/>
      <c r="D452" s="77"/>
    </row>
    <row r="453" spans="2:4" x14ac:dyDescent="0.2">
      <c r="B453" s="80">
        <v>52009</v>
      </c>
      <c r="C453" s="78"/>
      <c r="D453" s="77"/>
    </row>
    <row r="454" spans="2:4" x14ac:dyDescent="0.2">
      <c r="B454" s="80">
        <v>52115</v>
      </c>
      <c r="C454" s="78"/>
      <c r="D454" s="77"/>
    </row>
    <row r="455" spans="2:4" x14ac:dyDescent="0.2">
      <c r="B455" s="80">
        <v>52150</v>
      </c>
      <c r="C455" s="78"/>
      <c r="D455" s="77"/>
    </row>
    <row r="456" spans="2:4" x14ac:dyDescent="0.2">
      <c r="B456" s="80">
        <v>52171</v>
      </c>
      <c r="C456" s="78"/>
      <c r="D456" s="77"/>
    </row>
    <row r="457" spans="2:4" x14ac:dyDescent="0.2">
      <c r="B457" s="80">
        <v>52184</v>
      </c>
      <c r="C457" s="78"/>
      <c r="D457" s="77"/>
    </row>
    <row r="458" spans="2:4" x14ac:dyDescent="0.2">
      <c r="B458" s="80">
        <v>52224</v>
      </c>
      <c r="C458" s="78"/>
      <c r="D458" s="77"/>
    </row>
    <row r="459" spans="2:4" x14ac:dyDescent="0.2">
      <c r="B459" s="80">
        <v>52231</v>
      </c>
      <c r="C459" s="78"/>
      <c r="D459" s="77"/>
    </row>
    <row r="460" spans="2:4" x14ac:dyDescent="0.2">
      <c r="B460" s="80">
        <v>52286</v>
      </c>
      <c r="C460" s="78"/>
      <c r="D460" s="77"/>
    </row>
    <row r="461" spans="2:4" x14ac:dyDescent="0.2">
      <c r="B461" s="80">
        <v>52287</v>
      </c>
      <c r="C461" s="78"/>
      <c r="D461" s="77"/>
    </row>
    <row r="462" spans="2:4" x14ac:dyDescent="0.2">
      <c r="B462" s="80">
        <v>52332</v>
      </c>
      <c r="C462" s="78"/>
      <c r="D462" s="77"/>
    </row>
    <row r="463" spans="2:4" x14ac:dyDescent="0.2">
      <c r="B463" s="80">
        <v>52341</v>
      </c>
      <c r="C463" s="78"/>
      <c r="D463" s="77"/>
    </row>
    <row r="464" spans="2:4" x14ac:dyDescent="0.2">
      <c r="B464" s="80">
        <v>52351</v>
      </c>
      <c r="C464" s="78"/>
      <c r="D464" s="77"/>
    </row>
    <row r="465" spans="2:4" x14ac:dyDescent="0.2">
      <c r="B465" s="80">
        <v>52394</v>
      </c>
      <c r="C465" s="78"/>
      <c r="D465" s="77"/>
    </row>
    <row r="466" spans="2:4" x14ac:dyDescent="0.2">
      <c r="B466" s="80">
        <v>52480</v>
      </c>
      <c r="C466" s="78"/>
      <c r="D466" s="77"/>
    </row>
    <row r="467" spans="2:4" x14ac:dyDescent="0.2">
      <c r="B467" s="80">
        <v>52515</v>
      </c>
      <c r="C467" s="78"/>
      <c r="D467" s="77"/>
    </row>
    <row r="468" spans="2:4" x14ac:dyDescent="0.2">
      <c r="B468" s="80">
        <v>52536</v>
      </c>
      <c r="C468" s="78"/>
      <c r="D468" s="77"/>
    </row>
    <row r="469" spans="2:4" x14ac:dyDescent="0.2">
      <c r="B469" s="80">
        <v>52549</v>
      </c>
      <c r="C469" s="78"/>
      <c r="D469" s="77"/>
    </row>
    <row r="470" spans="2:4" x14ac:dyDescent="0.2">
      <c r="B470" s="80">
        <v>52589</v>
      </c>
      <c r="C470" s="78"/>
      <c r="D470" s="77"/>
    </row>
    <row r="471" spans="2:4" x14ac:dyDescent="0.2">
      <c r="B471" s="80">
        <v>52596</v>
      </c>
      <c r="C471" s="78"/>
      <c r="D471" s="77"/>
    </row>
    <row r="472" spans="2:4" x14ac:dyDescent="0.2">
      <c r="B472" s="80">
        <v>52643</v>
      </c>
      <c r="C472" s="78"/>
      <c r="D472" s="77"/>
    </row>
    <row r="473" spans="2:4" x14ac:dyDescent="0.2">
      <c r="B473" s="80">
        <v>52644</v>
      </c>
      <c r="C473" s="78"/>
      <c r="D473" s="77"/>
    </row>
    <row r="474" spans="2:4" x14ac:dyDescent="0.2">
      <c r="B474" s="80">
        <v>52689</v>
      </c>
      <c r="C474" s="78"/>
      <c r="D474" s="77"/>
    </row>
    <row r="475" spans="2:4" x14ac:dyDescent="0.2">
      <c r="B475" s="80">
        <v>52707</v>
      </c>
      <c r="C475" s="78"/>
      <c r="D475" s="77"/>
    </row>
    <row r="476" spans="2:4" x14ac:dyDescent="0.2">
      <c r="B476" s="80">
        <v>52717</v>
      </c>
      <c r="C476" s="78"/>
      <c r="D476" s="77"/>
    </row>
    <row r="477" spans="2:4" x14ac:dyDescent="0.2">
      <c r="B477" s="80">
        <v>52751</v>
      </c>
      <c r="C477" s="78"/>
      <c r="D477" s="77"/>
    </row>
    <row r="478" spans="2:4" x14ac:dyDescent="0.2">
      <c r="B478" s="80">
        <v>52846</v>
      </c>
      <c r="C478" s="78"/>
      <c r="D478" s="77"/>
    </row>
    <row r="479" spans="2:4" x14ac:dyDescent="0.2">
      <c r="B479" s="80">
        <v>52881</v>
      </c>
      <c r="C479" s="78"/>
      <c r="D479" s="77"/>
    </row>
    <row r="480" spans="2:4" x14ac:dyDescent="0.2">
      <c r="B480" s="80">
        <v>52902</v>
      </c>
      <c r="C480" s="78"/>
      <c r="D480" s="77"/>
    </row>
    <row r="481" spans="2:4" x14ac:dyDescent="0.2">
      <c r="B481" s="80">
        <v>52915</v>
      </c>
      <c r="C481" s="78"/>
      <c r="D481" s="77"/>
    </row>
    <row r="482" spans="2:4" x14ac:dyDescent="0.2">
      <c r="B482" s="80">
        <v>52955</v>
      </c>
      <c r="C482" s="78"/>
      <c r="D482" s="77"/>
    </row>
    <row r="483" spans="2:4" x14ac:dyDescent="0.2">
      <c r="B483" s="80">
        <v>52962</v>
      </c>
      <c r="C483" s="78"/>
      <c r="D483" s="77"/>
    </row>
    <row r="484" spans="2:4" x14ac:dyDescent="0.2">
      <c r="B484" s="80">
        <v>53028</v>
      </c>
      <c r="C484" s="78"/>
      <c r="D484" s="77"/>
    </row>
    <row r="485" spans="2:4" x14ac:dyDescent="0.2">
      <c r="B485" s="80">
        <v>53029</v>
      </c>
      <c r="C485" s="78"/>
      <c r="D485" s="77"/>
    </row>
    <row r="486" spans="2:4" x14ac:dyDescent="0.2">
      <c r="B486" s="80">
        <v>53074</v>
      </c>
      <c r="C486" s="78"/>
      <c r="D486" s="77"/>
    </row>
    <row r="487" spans="2:4" x14ac:dyDescent="0.2">
      <c r="B487" s="80">
        <v>53072</v>
      </c>
      <c r="C487" s="78"/>
      <c r="D487" s="77"/>
    </row>
    <row r="488" spans="2:4" x14ac:dyDescent="0.2">
      <c r="B488" s="80">
        <v>53082</v>
      </c>
      <c r="C488" s="78"/>
      <c r="D488" s="77"/>
    </row>
    <row r="489" spans="2:4" x14ac:dyDescent="0.2">
      <c r="B489" s="80">
        <v>53136</v>
      </c>
      <c r="C489" s="78"/>
      <c r="D489" s="77"/>
    </row>
    <row r="490" spans="2:4" x14ac:dyDescent="0.2">
      <c r="B490" s="80">
        <v>53211</v>
      </c>
      <c r="C490" s="78"/>
      <c r="D490" s="77"/>
    </row>
    <row r="491" spans="2:4" x14ac:dyDescent="0.2">
      <c r="B491" s="80">
        <v>53246</v>
      </c>
      <c r="C491" s="78"/>
      <c r="D491" s="77"/>
    </row>
    <row r="492" spans="2:4" x14ac:dyDescent="0.2">
      <c r="B492" s="80">
        <v>53267</v>
      </c>
      <c r="C492" s="78"/>
      <c r="D492" s="77"/>
    </row>
    <row r="493" spans="2:4" x14ac:dyDescent="0.2">
      <c r="B493" s="80">
        <v>53280</v>
      </c>
      <c r="C493" s="78"/>
      <c r="D493" s="77"/>
    </row>
    <row r="494" spans="2:4" x14ac:dyDescent="0.2">
      <c r="B494" s="80">
        <v>53320</v>
      </c>
      <c r="C494" s="78"/>
      <c r="D494" s="77"/>
    </row>
    <row r="495" spans="2:4" x14ac:dyDescent="0.2">
      <c r="B495" s="80">
        <v>53327</v>
      </c>
      <c r="C495" s="78"/>
      <c r="D495" s="77"/>
    </row>
    <row r="496" spans="2:4" x14ac:dyDescent="0.2">
      <c r="B496" s="80">
        <v>53378</v>
      </c>
      <c r="C496" s="78"/>
      <c r="D496" s="77"/>
    </row>
    <row r="497" spans="2:4" x14ac:dyDescent="0.2">
      <c r="B497" s="80">
        <v>53379</v>
      </c>
      <c r="C497" s="78"/>
      <c r="D497" s="77"/>
    </row>
    <row r="498" spans="2:4" x14ac:dyDescent="0.2">
      <c r="B498" s="80">
        <v>53424</v>
      </c>
      <c r="C498" s="78"/>
      <c r="D498" s="77"/>
    </row>
    <row r="499" spans="2:4" x14ac:dyDescent="0.2">
      <c r="B499" s="80">
        <v>53437</v>
      </c>
      <c r="C499" s="78"/>
      <c r="D499" s="77"/>
    </row>
    <row r="500" spans="2:4" x14ac:dyDescent="0.2">
      <c r="B500" s="80">
        <v>53447</v>
      </c>
      <c r="C500" s="78"/>
      <c r="D500" s="77"/>
    </row>
    <row r="501" spans="2:4" x14ac:dyDescent="0.2">
      <c r="B501" s="80">
        <v>53486</v>
      </c>
      <c r="C501" s="78"/>
      <c r="D501" s="77"/>
    </row>
    <row r="502" spans="2:4" x14ac:dyDescent="0.2">
      <c r="B502" s="80">
        <v>53576</v>
      </c>
      <c r="C502" s="78"/>
      <c r="D502" s="77"/>
    </row>
    <row r="503" spans="2:4" x14ac:dyDescent="0.2">
      <c r="B503" s="80">
        <v>53611</v>
      </c>
      <c r="C503" s="78"/>
      <c r="D503" s="77"/>
    </row>
    <row r="504" spans="2:4" x14ac:dyDescent="0.2">
      <c r="B504" s="80">
        <v>53632</v>
      </c>
      <c r="C504" s="78"/>
      <c r="D504" s="77"/>
    </row>
    <row r="505" spans="2:4" x14ac:dyDescent="0.2">
      <c r="B505" s="80">
        <v>53645</v>
      </c>
      <c r="C505" s="78"/>
      <c r="D505" s="77"/>
    </row>
    <row r="506" spans="2:4" x14ac:dyDescent="0.2">
      <c r="B506" s="80">
        <v>53685</v>
      </c>
      <c r="C506" s="78"/>
      <c r="D506" s="77"/>
    </row>
    <row r="507" spans="2:4" x14ac:dyDescent="0.2">
      <c r="B507" s="80">
        <v>53692</v>
      </c>
      <c r="C507" s="78"/>
      <c r="D507" s="77"/>
    </row>
    <row r="508" spans="2:4" x14ac:dyDescent="0.2">
      <c r="B508" s="80">
        <v>53735</v>
      </c>
      <c r="C508" s="78"/>
      <c r="D508" s="77"/>
    </row>
    <row r="509" spans="2:4" x14ac:dyDescent="0.2">
      <c r="B509" s="80">
        <v>53736</v>
      </c>
      <c r="C509" s="78"/>
      <c r="D509" s="77"/>
    </row>
    <row r="510" spans="2:4" x14ac:dyDescent="0.2">
      <c r="B510" s="80">
        <v>53781</v>
      </c>
      <c r="C510" s="78"/>
      <c r="D510" s="77"/>
    </row>
    <row r="511" spans="2:4" x14ac:dyDescent="0.2">
      <c r="B511" s="80">
        <v>53802</v>
      </c>
      <c r="C511" s="78"/>
      <c r="D511" s="77"/>
    </row>
    <row r="512" spans="2:4" x14ac:dyDescent="0.2">
      <c r="B512" s="80">
        <v>53812</v>
      </c>
      <c r="C512" s="78"/>
      <c r="D512" s="77"/>
    </row>
    <row r="513" spans="2:4" x14ac:dyDescent="0.2">
      <c r="B513" s="80">
        <v>53843</v>
      </c>
      <c r="C513" s="78"/>
      <c r="D513" s="77"/>
    </row>
    <row r="514" spans="2:4" x14ac:dyDescent="0.2">
      <c r="B514" s="80">
        <v>53941</v>
      </c>
      <c r="C514" s="78"/>
      <c r="D514" s="77"/>
    </row>
    <row r="515" spans="2:4" x14ac:dyDescent="0.2">
      <c r="B515" s="80">
        <v>53976</v>
      </c>
      <c r="C515" s="78"/>
      <c r="D515" s="77"/>
    </row>
    <row r="516" spans="2:4" x14ac:dyDescent="0.2">
      <c r="B516" s="80">
        <v>53997</v>
      </c>
      <c r="C516" s="78"/>
      <c r="D516" s="77"/>
    </row>
    <row r="517" spans="2:4" x14ac:dyDescent="0.2">
      <c r="B517" s="80">
        <v>54010</v>
      </c>
      <c r="C517" s="78"/>
      <c r="D517" s="77"/>
    </row>
    <row r="518" spans="2:4" x14ac:dyDescent="0.2">
      <c r="B518" s="80">
        <v>54050</v>
      </c>
      <c r="C518" s="78"/>
      <c r="D518" s="77"/>
    </row>
    <row r="519" spans="2:4" x14ac:dyDescent="0.2">
      <c r="B519" s="80">
        <v>54057</v>
      </c>
      <c r="C519" s="78"/>
      <c r="D519" s="77"/>
    </row>
    <row r="520" spans="2:4" x14ac:dyDescent="0.2">
      <c r="B520" s="80">
        <v>54120</v>
      </c>
      <c r="C520" s="78"/>
      <c r="D520" s="77"/>
    </row>
    <row r="521" spans="2:4" x14ac:dyDescent="0.2">
      <c r="B521" s="80">
        <v>54121</v>
      </c>
      <c r="C521" s="78"/>
      <c r="D521" s="77"/>
    </row>
    <row r="522" spans="2:4" x14ac:dyDescent="0.2">
      <c r="B522" s="80">
        <v>54166</v>
      </c>
      <c r="C522" s="78"/>
      <c r="D522" s="77"/>
    </row>
    <row r="523" spans="2:4" x14ac:dyDescent="0.2">
      <c r="B523" s="80">
        <v>54168</v>
      </c>
      <c r="C523" s="78"/>
      <c r="D523" s="77"/>
    </row>
    <row r="524" spans="2:4" x14ac:dyDescent="0.2">
      <c r="B524" s="80">
        <v>54178</v>
      </c>
      <c r="C524" s="78"/>
      <c r="D524" s="77"/>
    </row>
    <row r="525" spans="2:4" x14ac:dyDescent="0.2">
      <c r="B525" s="80">
        <v>54228</v>
      </c>
      <c r="C525" s="78"/>
      <c r="D525" s="77"/>
    </row>
    <row r="526" spans="2:4" x14ac:dyDescent="0.2">
      <c r="B526" s="80">
        <v>54307</v>
      </c>
      <c r="C526" s="78"/>
      <c r="D526" s="77"/>
    </row>
    <row r="527" spans="2:4" x14ac:dyDescent="0.2">
      <c r="B527" s="80">
        <v>54342</v>
      </c>
      <c r="C527" s="78"/>
      <c r="D527" s="77"/>
    </row>
    <row r="528" spans="2:4" x14ac:dyDescent="0.2">
      <c r="B528" s="80">
        <v>54363</v>
      </c>
      <c r="C528" s="78"/>
      <c r="D528" s="77"/>
    </row>
    <row r="529" spans="2:4" x14ac:dyDescent="0.2">
      <c r="B529" s="80">
        <v>54376</v>
      </c>
      <c r="C529" s="78"/>
      <c r="D529" s="77"/>
    </row>
    <row r="530" spans="2:4" x14ac:dyDescent="0.2">
      <c r="B530" s="80">
        <v>54416</v>
      </c>
      <c r="C530" s="78"/>
      <c r="D530" s="77"/>
    </row>
    <row r="531" spans="2:4" x14ac:dyDescent="0.2">
      <c r="B531" s="80">
        <v>54423</v>
      </c>
      <c r="C531" s="78"/>
      <c r="D531" s="77"/>
    </row>
    <row r="532" spans="2:4" x14ac:dyDescent="0.2">
      <c r="B532" s="80">
        <v>54470</v>
      </c>
      <c r="C532" s="78"/>
      <c r="D532" s="77"/>
    </row>
    <row r="533" spans="2:4" x14ac:dyDescent="0.2">
      <c r="B533" s="80">
        <v>54471</v>
      </c>
      <c r="C533" s="78"/>
      <c r="D533" s="77"/>
    </row>
    <row r="534" spans="2:4" x14ac:dyDescent="0.2">
      <c r="B534" s="80">
        <v>54516</v>
      </c>
      <c r="C534" s="78"/>
      <c r="D534" s="77"/>
    </row>
    <row r="535" spans="2:4" x14ac:dyDescent="0.2">
      <c r="B535" s="80">
        <v>54533</v>
      </c>
      <c r="C535" s="78"/>
      <c r="D535" s="77"/>
    </row>
    <row r="536" spans="2:4" x14ac:dyDescent="0.2">
      <c r="B536" s="80">
        <v>54543</v>
      </c>
      <c r="C536" s="78"/>
      <c r="D536" s="77"/>
    </row>
    <row r="537" spans="2:4" x14ac:dyDescent="0.2">
      <c r="B537" s="80">
        <v>54578</v>
      </c>
      <c r="C537" s="78"/>
      <c r="D537" s="77"/>
    </row>
    <row r="538" spans="2:4" x14ac:dyDescent="0.2">
      <c r="B538" s="80">
        <v>54672</v>
      </c>
      <c r="C538" s="78"/>
      <c r="D538" s="77"/>
    </row>
    <row r="539" spans="2:4" x14ac:dyDescent="0.2">
      <c r="B539" s="80">
        <v>54707</v>
      </c>
      <c r="C539" s="78"/>
      <c r="D539" s="77"/>
    </row>
    <row r="540" spans="2:4" x14ac:dyDescent="0.2">
      <c r="B540" s="80">
        <v>54728</v>
      </c>
      <c r="C540" s="78"/>
      <c r="D540" s="77"/>
    </row>
    <row r="541" spans="2:4" x14ac:dyDescent="0.2">
      <c r="B541" s="80">
        <v>54741</v>
      </c>
      <c r="C541" s="78"/>
      <c r="D541" s="77"/>
    </row>
    <row r="542" spans="2:4" x14ac:dyDescent="0.2">
      <c r="B542" s="80">
        <v>54781</v>
      </c>
      <c r="C542" s="78"/>
      <c r="D542" s="77"/>
    </row>
    <row r="543" spans="2:4" x14ac:dyDescent="0.2">
      <c r="B543" s="80">
        <v>54788</v>
      </c>
      <c r="C543" s="78"/>
      <c r="D543" s="77"/>
    </row>
    <row r="544" spans="2:4" x14ac:dyDescent="0.2">
      <c r="B544" s="80">
        <v>54827</v>
      </c>
      <c r="C544" s="78"/>
      <c r="D544" s="77"/>
    </row>
    <row r="545" spans="2:4" x14ac:dyDescent="0.2">
      <c r="B545" s="80">
        <v>54828</v>
      </c>
      <c r="C545" s="78"/>
      <c r="D545" s="77"/>
    </row>
    <row r="546" spans="2:4" x14ac:dyDescent="0.2">
      <c r="B546" s="80">
        <v>54873</v>
      </c>
      <c r="C546" s="78"/>
      <c r="D546" s="77"/>
    </row>
    <row r="547" spans="2:4" x14ac:dyDescent="0.2">
      <c r="B547" s="80">
        <v>54898</v>
      </c>
      <c r="C547" s="78"/>
      <c r="D547" s="77"/>
    </row>
    <row r="548" spans="2:4" x14ac:dyDescent="0.2">
      <c r="B548" s="80">
        <v>54908</v>
      </c>
      <c r="C548" s="78"/>
      <c r="D548" s="77"/>
    </row>
    <row r="549" spans="2:4" x14ac:dyDescent="0.2">
      <c r="B549" s="80">
        <v>54935</v>
      </c>
      <c r="C549" s="78"/>
      <c r="D549" s="77"/>
    </row>
    <row r="550" spans="2:4" x14ac:dyDescent="0.2">
      <c r="B550" s="80">
        <v>55037</v>
      </c>
      <c r="C550" s="78"/>
      <c r="D550" s="77"/>
    </row>
    <row r="551" spans="2:4" x14ac:dyDescent="0.2">
      <c r="B551" s="80">
        <v>55072</v>
      </c>
      <c r="C551" s="78"/>
      <c r="D551" s="77"/>
    </row>
    <row r="552" spans="2:4" x14ac:dyDescent="0.2">
      <c r="B552" s="80">
        <v>55093</v>
      </c>
      <c r="C552" s="78"/>
      <c r="D552" s="77"/>
    </row>
    <row r="553" spans="2:4" x14ac:dyDescent="0.2">
      <c r="B553" s="80">
        <v>55106</v>
      </c>
      <c r="C553" s="78"/>
      <c r="D553" s="77"/>
    </row>
    <row r="554" spans="2:4" x14ac:dyDescent="0.2">
      <c r="B554" s="80">
        <v>55146</v>
      </c>
      <c r="C554" s="78"/>
      <c r="D554" s="77"/>
    </row>
    <row r="555" spans="2:4" x14ac:dyDescent="0.2">
      <c r="B555" s="80">
        <v>55153</v>
      </c>
      <c r="C555" s="78"/>
      <c r="D555" s="77"/>
    </row>
    <row r="556" spans="2:4" x14ac:dyDescent="0.2">
      <c r="B556" s="80">
        <v>55212</v>
      </c>
      <c r="C556" s="78"/>
      <c r="D556" s="77"/>
    </row>
    <row r="557" spans="2:4" x14ac:dyDescent="0.2">
      <c r="B557" s="80">
        <v>55213</v>
      </c>
      <c r="C557" s="78"/>
      <c r="D557" s="77"/>
    </row>
    <row r="558" spans="2:4" x14ac:dyDescent="0.2">
      <c r="B558" s="80">
        <v>55258</v>
      </c>
      <c r="C558" s="78"/>
      <c r="D558" s="77"/>
    </row>
    <row r="559" spans="2:4" x14ac:dyDescent="0.2">
      <c r="B559" s="80">
        <v>55263</v>
      </c>
      <c r="C559" s="78"/>
      <c r="D559" s="77"/>
    </row>
    <row r="560" spans="2:4" x14ac:dyDescent="0.2">
      <c r="B560" s="80">
        <v>55273</v>
      </c>
      <c r="C560" s="78"/>
      <c r="D560" s="77"/>
    </row>
    <row r="561" spans="2:4" x14ac:dyDescent="0.2">
      <c r="B561" s="80">
        <v>55320</v>
      </c>
      <c r="C561" s="78"/>
      <c r="D561" s="77"/>
    </row>
    <row r="562" spans="2:4" x14ac:dyDescent="0.2">
      <c r="B562" s="80">
        <v>55402</v>
      </c>
      <c r="C562" s="78"/>
      <c r="D562" s="77"/>
    </row>
    <row r="563" spans="2:4" x14ac:dyDescent="0.2">
      <c r="B563" s="80">
        <v>55437</v>
      </c>
      <c r="C563" s="78"/>
      <c r="D563" s="77"/>
    </row>
    <row r="564" spans="2:4" x14ac:dyDescent="0.2">
      <c r="B564" s="80">
        <v>55458</v>
      </c>
      <c r="C564" s="78"/>
      <c r="D564" s="77"/>
    </row>
    <row r="565" spans="2:4" x14ac:dyDescent="0.2">
      <c r="B565" s="80">
        <v>55471</v>
      </c>
      <c r="C565" s="78"/>
      <c r="D565" s="77"/>
    </row>
    <row r="566" spans="2:4" x14ac:dyDescent="0.2">
      <c r="B566" s="80">
        <v>55511</v>
      </c>
      <c r="C566" s="78"/>
      <c r="D566" s="77"/>
    </row>
    <row r="567" spans="2:4" x14ac:dyDescent="0.2">
      <c r="B567" s="80">
        <v>55518</v>
      </c>
      <c r="C567" s="78"/>
      <c r="D567" s="77"/>
    </row>
    <row r="568" spans="2:4" x14ac:dyDescent="0.2">
      <c r="B568" s="80">
        <v>55562</v>
      </c>
      <c r="C568" s="78"/>
      <c r="D568" s="77"/>
    </row>
    <row r="569" spans="2:4" x14ac:dyDescent="0.2">
      <c r="B569" s="80">
        <v>55563</v>
      </c>
      <c r="C569" s="78"/>
      <c r="D569" s="77"/>
    </row>
    <row r="570" spans="2:4" x14ac:dyDescent="0.2">
      <c r="B570" s="80">
        <v>55608</v>
      </c>
      <c r="C570" s="78"/>
      <c r="D570" s="77"/>
    </row>
    <row r="571" spans="2:4" x14ac:dyDescent="0.2">
      <c r="B571" s="80">
        <v>55629</v>
      </c>
      <c r="C571" s="78"/>
      <c r="D571" s="77"/>
    </row>
    <row r="572" spans="2:4" x14ac:dyDescent="0.2">
      <c r="B572" s="80">
        <v>55639</v>
      </c>
      <c r="C572" s="78"/>
      <c r="D572" s="77"/>
    </row>
    <row r="573" spans="2:4" x14ac:dyDescent="0.2">
      <c r="B573" s="80">
        <v>55670</v>
      </c>
      <c r="C573" s="78"/>
      <c r="D573" s="77"/>
    </row>
    <row r="574" spans="2:4" x14ac:dyDescent="0.2">
      <c r="B574" s="80">
        <v>55768</v>
      </c>
      <c r="C574" s="78"/>
      <c r="D574" s="77"/>
    </row>
    <row r="575" spans="2:4" x14ac:dyDescent="0.2">
      <c r="B575" s="80">
        <v>55803</v>
      </c>
      <c r="C575" s="78"/>
      <c r="D575" s="77"/>
    </row>
    <row r="576" spans="2:4" x14ac:dyDescent="0.2">
      <c r="B576" s="80">
        <v>55824</v>
      </c>
      <c r="C576" s="78"/>
      <c r="D576" s="77"/>
    </row>
    <row r="577" spans="2:4" x14ac:dyDescent="0.2">
      <c r="B577" s="80">
        <v>55837</v>
      </c>
      <c r="C577" s="78"/>
      <c r="D577" s="77"/>
    </row>
    <row r="578" spans="2:4" x14ac:dyDescent="0.2">
      <c r="B578" s="80">
        <v>55877</v>
      </c>
      <c r="C578" s="78"/>
      <c r="D578" s="77"/>
    </row>
    <row r="579" spans="2:4" x14ac:dyDescent="0.2">
      <c r="B579" s="80">
        <v>55884</v>
      </c>
      <c r="C579" s="78"/>
      <c r="D579" s="77"/>
    </row>
    <row r="580" spans="2:4" x14ac:dyDescent="0.2">
      <c r="B580" s="80">
        <v>55947</v>
      </c>
      <c r="C580" s="78"/>
      <c r="D580" s="77"/>
    </row>
    <row r="581" spans="2:4" x14ac:dyDescent="0.2">
      <c r="B581" s="80">
        <v>55948</v>
      </c>
      <c r="C581" s="78"/>
      <c r="D581" s="77"/>
    </row>
    <row r="582" spans="2:4" x14ac:dyDescent="0.2">
      <c r="B582" s="80">
        <v>55993</v>
      </c>
      <c r="C582" s="78"/>
      <c r="D582" s="77"/>
    </row>
    <row r="583" spans="2:4" x14ac:dyDescent="0.2">
      <c r="B583" s="80">
        <v>55994</v>
      </c>
      <c r="C583" s="78"/>
      <c r="D583" s="77"/>
    </row>
    <row r="584" spans="2:4" x14ac:dyDescent="0.2">
      <c r="B584" s="80">
        <v>56004</v>
      </c>
      <c r="C584" s="78"/>
      <c r="D584" s="77"/>
    </row>
    <row r="585" spans="2:4" x14ac:dyDescent="0.2">
      <c r="B585" s="80">
        <v>56055</v>
      </c>
      <c r="C585" s="78"/>
      <c r="D585" s="77"/>
    </row>
    <row r="586" spans="2:4" x14ac:dyDescent="0.2">
      <c r="B586" s="80">
        <v>56133</v>
      </c>
      <c r="C586" s="78"/>
      <c r="D586" s="77"/>
    </row>
    <row r="587" spans="2:4" x14ac:dyDescent="0.2">
      <c r="B587" s="80">
        <v>56168</v>
      </c>
      <c r="C587" s="78"/>
      <c r="D587" s="77"/>
    </row>
    <row r="588" spans="2:4" x14ac:dyDescent="0.2">
      <c r="B588" s="80">
        <v>56189</v>
      </c>
      <c r="C588" s="78"/>
      <c r="D588" s="77"/>
    </row>
    <row r="589" spans="2:4" x14ac:dyDescent="0.2">
      <c r="B589" s="80">
        <v>56202</v>
      </c>
      <c r="C589" s="78"/>
      <c r="D589" s="77"/>
    </row>
    <row r="590" spans="2:4" x14ac:dyDescent="0.2">
      <c r="B590" s="80">
        <v>56242</v>
      </c>
      <c r="C590" s="78"/>
      <c r="D590" s="77"/>
    </row>
    <row r="591" spans="2:4" x14ac:dyDescent="0.2">
      <c r="B591" s="80">
        <v>56249</v>
      </c>
      <c r="C591" s="78"/>
      <c r="D591" s="77"/>
    </row>
    <row r="592" spans="2:4" x14ac:dyDescent="0.2">
      <c r="B592" s="80">
        <v>56304</v>
      </c>
      <c r="C592" s="78"/>
      <c r="D592" s="77"/>
    </row>
    <row r="593" spans="2:4" x14ac:dyDescent="0.2">
      <c r="B593" s="80">
        <v>56305</v>
      </c>
      <c r="C593" s="78"/>
      <c r="D593" s="77"/>
    </row>
    <row r="594" spans="2:4" x14ac:dyDescent="0.2">
      <c r="B594" s="80">
        <v>56350</v>
      </c>
      <c r="C594" s="78"/>
      <c r="D594" s="77"/>
    </row>
    <row r="595" spans="2:4" x14ac:dyDescent="0.2">
      <c r="B595" s="80">
        <v>56359</v>
      </c>
      <c r="C595" s="78"/>
      <c r="D595" s="77"/>
    </row>
    <row r="596" spans="2:4" x14ac:dyDescent="0.2">
      <c r="B596" s="80">
        <v>56369</v>
      </c>
      <c r="C596" s="78"/>
      <c r="D596" s="77"/>
    </row>
    <row r="597" spans="2:4" x14ac:dyDescent="0.2">
      <c r="B597" s="80">
        <v>56412</v>
      </c>
      <c r="C597" s="78"/>
      <c r="D597" s="77"/>
    </row>
    <row r="598" spans="2:4" x14ac:dyDescent="0.2">
      <c r="B598" s="80">
        <v>56498</v>
      </c>
      <c r="C598" s="78"/>
      <c r="D598" s="77"/>
    </row>
    <row r="599" spans="2:4" x14ac:dyDescent="0.2">
      <c r="B599" s="80">
        <v>56533</v>
      </c>
      <c r="C599" s="78"/>
      <c r="D599" s="77"/>
    </row>
    <row r="600" spans="2:4" x14ac:dyDescent="0.2">
      <c r="B600" s="80">
        <v>56554</v>
      </c>
      <c r="C600" s="78"/>
      <c r="D600" s="77"/>
    </row>
    <row r="601" spans="2:4" x14ac:dyDescent="0.2">
      <c r="B601" s="80">
        <v>56567</v>
      </c>
      <c r="C601" s="78"/>
      <c r="D601" s="77"/>
    </row>
    <row r="602" spans="2:4" x14ac:dyDescent="0.2">
      <c r="B602" s="80">
        <v>56607</v>
      </c>
      <c r="C602" s="78"/>
      <c r="D602" s="77"/>
    </row>
    <row r="603" spans="2:4" x14ac:dyDescent="0.2">
      <c r="B603" s="80">
        <v>56614</v>
      </c>
      <c r="C603" s="78"/>
      <c r="D603" s="77"/>
    </row>
    <row r="604" spans="2:4" x14ac:dyDescent="0.2">
      <c r="B604" s="80">
        <v>56654</v>
      </c>
      <c r="C604" s="78"/>
      <c r="D604" s="77"/>
    </row>
    <row r="605" spans="2:4" x14ac:dyDescent="0.2">
      <c r="B605" s="80">
        <v>56655</v>
      </c>
      <c r="C605" s="78"/>
      <c r="D605" s="77"/>
    </row>
    <row r="606" spans="2:4" x14ac:dyDescent="0.2">
      <c r="B606" s="80">
        <v>56700</v>
      </c>
      <c r="C606" s="78"/>
      <c r="D606" s="77"/>
    </row>
    <row r="607" spans="2:4" x14ac:dyDescent="0.2">
      <c r="B607" s="80">
        <v>56724</v>
      </c>
      <c r="C607" s="78"/>
      <c r="D607" s="77"/>
    </row>
    <row r="608" spans="2:4" x14ac:dyDescent="0.2">
      <c r="B608" s="80">
        <v>56734</v>
      </c>
      <c r="C608" s="78"/>
      <c r="D608" s="77"/>
    </row>
    <row r="609" spans="2:4" x14ac:dyDescent="0.2">
      <c r="B609" s="80">
        <v>56762</v>
      </c>
      <c r="C609" s="78"/>
      <c r="D609" s="77"/>
    </row>
    <row r="610" spans="2:4" x14ac:dyDescent="0.2">
      <c r="B610" s="80">
        <v>56863</v>
      </c>
      <c r="C610" s="78"/>
      <c r="D610" s="77"/>
    </row>
    <row r="611" spans="2:4" x14ac:dyDescent="0.2">
      <c r="B611" s="80">
        <v>56898</v>
      </c>
      <c r="C611" s="78"/>
      <c r="D611" s="77"/>
    </row>
    <row r="612" spans="2:4" x14ac:dyDescent="0.2">
      <c r="B612" s="80">
        <v>56919</v>
      </c>
      <c r="C612" s="78"/>
      <c r="D612" s="77"/>
    </row>
    <row r="613" spans="2:4" x14ac:dyDescent="0.2">
      <c r="B613" s="80">
        <v>56932</v>
      </c>
      <c r="C613" s="78"/>
      <c r="D613" s="77"/>
    </row>
    <row r="614" spans="2:4" x14ac:dyDescent="0.2">
      <c r="B614" s="80">
        <v>56972</v>
      </c>
      <c r="C614" s="78"/>
      <c r="D614" s="77"/>
    </row>
    <row r="615" spans="2:4" x14ac:dyDescent="0.2">
      <c r="B615" s="80">
        <v>56979</v>
      </c>
      <c r="C615" s="78"/>
      <c r="D615" s="77"/>
    </row>
    <row r="616" spans="2:4" x14ac:dyDescent="0.2">
      <c r="B616" s="80">
        <v>57039</v>
      </c>
      <c r="C616" s="78"/>
      <c r="D616" s="77"/>
    </row>
    <row r="617" spans="2:4" x14ac:dyDescent="0.2">
      <c r="B617" s="80">
        <v>57040</v>
      </c>
      <c r="C617" s="78"/>
      <c r="D617" s="77"/>
    </row>
    <row r="618" spans="2:4" x14ac:dyDescent="0.2">
      <c r="B618" s="80">
        <v>57085</v>
      </c>
      <c r="C618" s="78"/>
      <c r="D618" s="77"/>
    </row>
    <row r="619" spans="2:4" x14ac:dyDescent="0.2">
      <c r="B619" s="80">
        <v>57090</v>
      </c>
      <c r="C619" s="78"/>
      <c r="D619" s="77"/>
    </row>
    <row r="620" spans="2:4" x14ac:dyDescent="0.2">
      <c r="B620" s="80">
        <v>57100</v>
      </c>
      <c r="C620" s="78"/>
      <c r="D620" s="77"/>
    </row>
    <row r="621" spans="2:4" x14ac:dyDescent="0.2">
      <c r="B621" s="80">
        <v>57147</v>
      </c>
      <c r="C621" s="78"/>
      <c r="D621" s="77"/>
    </row>
    <row r="622" spans="2:4" x14ac:dyDescent="0.2">
      <c r="B622" s="80">
        <v>57229</v>
      </c>
      <c r="C622" s="78"/>
      <c r="D622" s="77"/>
    </row>
    <row r="623" spans="2:4" x14ac:dyDescent="0.2">
      <c r="B623" s="80">
        <v>57264</v>
      </c>
      <c r="C623" s="78"/>
      <c r="D623" s="77"/>
    </row>
    <row r="624" spans="2:4" x14ac:dyDescent="0.2">
      <c r="B624" s="80">
        <v>57285</v>
      </c>
      <c r="C624" s="78"/>
      <c r="D624" s="77"/>
    </row>
    <row r="625" spans="2:4" x14ac:dyDescent="0.2">
      <c r="B625" s="80">
        <v>57298</v>
      </c>
      <c r="C625" s="78"/>
      <c r="D625" s="77"/>
    </row>
    <row r="626" spans="2:4" x14ac:dyDescent="0.2">
      <c r="B626" s="81">
        <v>57338</v>
      </c>
      <c r="C626" s="78"/>
      <c r="D626" s="77"/>
    </row>
    <row r="627" spans="2:4" x14ac:dyDescent="0.2">
      <c r="D627" s="77"/>
    </row>
    <row r="628" spans="2:4" x14ac:dyDescent="0.2">
      <c r="D628" s="77"/>
    </row>
    <row r="629" spans="2:4" x14ac:dyDescent="0.2">
      <c r="D629" s="77"/>
    </row>
    <row r="630" spans="2:4" x14ac:dyDescent="0.2">
      <c r="D630" s="77"/>
    </row>
    <row r="631" spans="2:4" x14ac:dyDescent="0.2">
      <c r="D631" s="77"/>
    </row>
    <row r="632" spans="2:4" x14ac:dyDescent="0.2">
      <c r="D632" s="77"/>
    </row>
    <row r="633" spans="2:4" x14ac:dyDescent="0.2">
      <c r="D633" s="77"/>
    </row>
    <row r="634" spans="2:4" x14ac:dyDescent="0.2">
      <c r="D634" s="77"/>
    </row>
    <row r="635" spans="2:4" x14ac:dyDescent="0.2">
      <c r="D635" s="77"/>
    </row>
    <row r="636" spans="2:4" x14ac:dyDescent="0.2">
      <c r="D636" s="77"/>
    </row>
    <row r="637" spans="2:4" x14ac:dyDescent="0.2">
      <c r="D637" s="77"/>
    </row>
    <row r="638" spans="2:4" x14ac:dyDescent="0.2">
      <c r="D638" s="77"/>
    </row>
    <row r="639" spans="2:4" x14ac:dyDescent="0.2">
      <c r="D639" s="77"/>
    </row>
    <row r="640" spans="2:4" x14ac:dyDescent="0.2">
      <c r="D640" s="77"/>
    </row>
    <row r="641" spans="4:4" x14ac:dyDescent="0.2">
      <c r="D641" s="77"/>
    </row>
    <row r="642" spans="4:4" x14ac:dyDescent="0.2">
      <c r="D642" s="77"/>
    </row>
    <row r="643" spans="4:4" x14ac:dyDescent="0.2">
      <c r="D643" s="77"/>
    </row>
    <row r="644" spans="4:4" x14ac:dyDescent="0.2">
      <c r="D644" s="77"/>
    </row>
    <row r="645" spans="4:4" x14ac:dyDescent="0.2">
      <c r="D645" s="77"/>
    </row>
    <row r="646" spans="4:4" x14ac:dyDescent="0.2">
      <c r="D646" s="77"/>
    </row>
    <row r="647" spans="4:4" x14ac:dyDescent="0.2">
      <c r="D647" s="77"/>
    </row>
    <row r="648" spans="4:4" x14ac:dyDescent="0.2">
      <c r="D648" s="77"/>
    </row>
    <row r="649" spans="4:4" x14ac:dyDescent="0.2">
      <c r="D649" s="77"/>
    </row>
    <row r="650" spans="4:4" x14ac:dyDescent="0.2">
      <c r="D650" s="77"/>
    </row>
    <row r="651" spans="4:4" x14ac:dyDescent="0.2">
      <c r="D651" s="77"/>
    </row>
    <row r="652" spans="4:4" x14ac:dyDescent="0.2">
      <c r="D652" s="77"/>
    </row>
    <row r="653" spans="4:4" x14ac:dyDescent="0.2">
      <c r="D653" s="77"/>
    </row>
    <row r="654" spans="4:4" x14ac:dyDescent="0.2">
      <c r="D654" s="77"/>
    </row>
    <row r="655" spans="4:4" x14ac:dyDescent="0.2">
      <c r="D655" s="77"/>
    </row>
    <row r="656" spans="4:4" x14ac:dyDescent="0.2">
      <c r="D656" s="77"/>
    </row>
    <row r="657" spans="4:4" x14ac:dyDescent="0.2">
      <c r="D657" s="77"/>
    </row>
    <row r="658" spans="4:4" x14ac:dyDescent="0.2">
      <c r="D658" s="77"/>
    </row>
    <row r="659" spans="4:4" x14ac:dyDescent="0.2">
      <c r="D659" s="77"/>
    </row>
    <row r="660" spans="4:4" x14ac:dyDescent="0.2">
      <c r="D660" s="77"/>
    </row>
    <row r="661" spans="4:4" x14ac:dyDescent="0.2">
      <c r="D661" s="77"/>
    </row>
    <row r="662" spans="4:4" x14ac:dyDescent="0.2">
      <c r="D662" s="77"/>
    </row>
    <row r="663" spans="4:4" x14ac:dyDescent="0.2">
      <c r="D663" s="77"/>
    </row>
    <row r="664" spans="4:4" x14ac:dyDescent="0.2">
      <c r="D664" s="77"/>
    </row>
    <row r="665" spans="4:4" x14ac:dyDescent="0.2">
      <c r="D665" s="77"/>
    </row>
    <row r="666" spans="4:4" x14ac:dyDescent="0.2">
      <c r="D666" s="77"/>
    </row>
    <row r="667" spans="4:4" x14ac:dyDescent="0.2">
      <c r="D667" s="77"/>
    </row>
    <row r="668" spans="4:4" x14ac:dyDescent="0.2">
      <c r="D668" s="77"/>
    </row>
    <row r="669" spans="4:4" x14ac:dyDescent="0.2">
      <c r="D669" s="77"/>
    </row>
    <row r="670" spans="4:4" x14ac:dyDescent="0.2">
      <c r="D670" s="77"/>
    </row>
    <row r="671" spans="4:4" x14ac:dyDescent="0.2">
      <c r="D671" s="77"/>
    </row>
    <row r="672" spans="4:4" x14ac:dyDescent="0.2">
      <c r="D672" s="77"/>
    </row>
    <row r="673" spans="4:4" x14ac:dyDescent="0.2">
      <c r="D673" s="77"/>
    </row>
    <row r="674" spans="4:4" x14ac:dyDescent="0.2">
      <c r="D674" s="77"/>
    </row>
    <row r="675" spans="4:4" x14ac:dyDescent="0.2">
      <c r="D675" s="77"/>
    </row>
    <row r="676" spans="4:4" x14ac:dyDescent="0.2">
      <c r="D676" s="77"/>
    </row>
    <row r="677" spans="4:4" x14ac:dyDescent="0.2">
      <c r="D677" s="77"/>
    </row>
    <row r="678" spans="4:4" x14ac:dyDescent="0.2">
      <c r="D678" s="77"/>
    </row>
    <row r="679" spans="4:4" x14ac:dyDescent="0.2">
      <c r="D679" s="77"/>
    </row>
    <row r="680" spans="4:4" x14ac:dyDescent="0.2">
      <c r="D680" s="77"/>
    </row>
    <row r="681" spans="4:4" x14ac:dyDescent="0.2">
      <c r="D681" s="77"/>
    </row>
    <row r="682" spans="4:4" x14ac:dyDescent="0.2">
      <c r="D682" s="77"/>
    </row>
    <row r="683" spans="4:4" x14ac:dyDescent="0.2">
      <c r="D683" s="77"/>
    </row>
    <row r="684" spans="4:4" x14ac:dyDescent="0.2">
      <c r="D684" s="77"/>
    </row>
    <row r="685" spans="4:4" x14ac:dyDescent="0.2">
      <c r="D685" s="77"/>
    </row>
    <row r="686" spans="4:4" x14ac:dyDescent="0.2">
      <c r="D686" s="77"/>
    </row>
    <row r="687" spans="4:4" x14ac:dyDescent="0.2">
      <c r="D687" s="77"/>
    </row>
    <row r="688" spans="4:4" x14ac:dyDescent="0.2">
      <c r="D688" s="77"/>
    </row>
    <row r="689" spans="4:4" x14ac:dyDescent="0.2">
      <c r="D689" s="77"/>
    </row>
    <row r="690" spans="4:4" x14ac:dyDescent="0.2">
      <c r="D690" s="77"/>
    </row>
    <row r="691" spans="4:4" x14ac:dyDescent="0.2">
      <c r="D691" s="77"/>
    </row>
    <row r="692" spans="4:4" x14ac:dyDescent="0.2">
      <c r="D692" s="77"/>
    </row>
    <row r="693" spans="4:4" x14ac:dyDescent="0.2">
      <c r="D693" s="77"/>
    </row>
    <row r="694" spans="4:4" x14ac:dyDescent="0.2">
      <c r="D694" s="77"/>
    </row>
    <row r="695" spans="4:4" x14ac:dyDescent="0.2">
      <c r="D695" s="77"/>
    </row>
    <row r="696" spans="4:4" x14ac:dyDescent="0.2">
      <c r="D696" s="77"/>
    </row>
    <row r="697" spans="4:4" x14ac:dyDescent="0.2">
      <c r="D697" s="77"/>
    </row>
    <row r="698" spans="4:4" x14ac:dyDescent="0.2">
      <c r="D698" s="77"/>
    </row>
    <row r="699" spans="4:4" x14ac:dyDescent="0.2">
      <c r="D699" s="77"/>
    </row>
    <row r="700" spans="4:4" x14ac:dyDescent="0.2">
      <c r="D700" s="77"/>
    </row>
    <row r="701" spans="4:4" x14ac:dyDescent="0.2">
      <c r="D701" s="77"/>
    </row>
    <row r="702" spans="4:4" x14ac:dyDescent="0.2">
      <c r="D702" s="77"/>
    </row>
    <row r="703" spans="4:4" x14ac:dyDescent="0.2">
      <c r="D703" s="77"/>
    </row>
    <row r="704" spans="4:4" x14ac:dyDescent="0.2">
      <c r="D704" s="77"/>
    </row>
    <row r="705" spans="4:4" x14ac:dyDescent="0.2">
      <c r="D705" s="77"/>
    </row>
    <row r="706" spans="4:4" x14ac:dyDescent="0.2">
      <c r="D706" s="77"/>
    </row>
    <row r="707" spans="4:4" x14ac:dyDescent="0.2">
      <c r="D707" s="77"/>
    </row>
    <row r="708" spans="4:4" x14ac:dyDescent="0.2">
      <c r="D708" s="77"/>
    </row>
    <row r="709" spans="4:4" x14ac:dyDescent="0.2">
      <c r="D709" s="77"/>
    </row>
    <row r="710" spans="4:4" x14ac:dyDescent="0.2">
      <c r="D710" s="77"/>
    </row>
    <row r="711" spans="4:4" x14ac:dyDescent="0.2">
      <c r="D711" s="77"/>
    </row>
    <row r="712" spans="4:4" x14ac:dyDescent="0.2">
      <c r="D712" s="77"/>
    </row>
    <row r="713" spans="4:4" x14ac:dyDescent="0.2">
      <c r="D713" s="77"/>
    </row>
    <row r="714" spans="4:4" x14ac:dyDescent="0.2">
      <c r="D714" s="77"/>
    </row>
    <row r="715" spans="4:4" x14ac:dyDescent="0.2">
      <c r="D715" s="77"/>
    </row>
    <row r="716" spans="4:4" x14ac:dyDescent="0.2">
      <c r="D716" s="77"/>
    </row>
    <row r="717" spans="4:4" x14ac:dyDescent="0.2">
      <c r="D717" s="77"/>
    </row>
    <row r="718" spans="4:4" x14ac:dyDescent="0.2">
      <c r="D718" s="77"/>
    </row>
    <row r="719" spans="4:4" x14ac:dyDescent="0.2">
      <c r="D719" s="77"/>
    </row>
    <row r="720" spans="4:4" x14ac:dyDescent="0.2">
      <c r="D720" s="77"/>
    </row>
    <row r="721" spans="4:4" x14ac:dyDescent="0.2">
      <c r="D721" s="77"/>
    </row>
    <row r="722" spans="4:4" x14ac:dyDescent="0.2">
      <c r="D722" s="77"/>
    </row>
    <row r="723" spans="4:4" x14ac:dyDescent="0.2">
      <c r="D723" s="77"/>
    </row>
    <row r="724" spans="4:4" x14ac:dyDescent="0.2">
      <c r="D724" s="77"/>
    </row>
    <row r="725" spans="4:4" x14ac:dyDescent="0.2">
      <c r="D725" s="77"/>
    </row>
    <row r="726" spans="4:4" x14ac:dyDescent="0.2">
      <c r="D726" s="77"/>
    </row>
    <row r="727" spans="4:4" x14ac:dyDescent="0.2">
      <c r="D727" s="77"/>
    </row>
    <row r="728" spans="4:4" x14ac:dyDescent="0.2">
      <c r="D728" s="77"/>
    </row>
    <row r="729" spans="4:4" x14ac:dyDescent="0.2">
      <c r="D729" s="77"/>
    </row>
    <row r="730" spans="4:4" x14ac:dyDescent="0.2">
      <c r="D730" s="77"/>
    </row>
    <row r="731" spans="4:4" x14ac:dyDescent="0.2">
      <c r="D731" s="77"/>
    </row>
    <row r="732" spans="4:4" x14ac:dyDescent="0.2">
      <c r="D732" s="77"/>
    </row>
    <row r="733" spans="4:4" x14ac:dyDescent="0.2">
      <c r="D733" s="77"/>
    </row>
    <row r="734" spans="4:4" x14ac:dyDescent="0.2">
      <c r="D734" s="77"/>
    </row>
    <row r="735" spans="4:4" x14ac:dyDescent="0.2">
      <c r="D735" s="77"/>
    </row>
    <row r="736" spans="4:4" x14ac:dyDescent="0.2">
      <c r="D736" s="77"/>
    </row>
    <row r="737" spans="4:4" x14ac:dyDescent="0.2">
      <c r="D737" s="77"/>
    </row>
    <row r="738" spans="4:4" x14ac:dyDescent="0.2">
      <c r="D738" s="77"/>
    </row>
    <row r="739" spans="4:4" x14ac:dyDescent="0.2">
      <c r="D739" s="77"/>
    </row>
    <row r="740" spans="4:4" x14ac:dyDescent="0.2">
      <c r="D740" s="77"/>
    </row>
    <row r="741" spans="4:4" x14ac:dyDescent="0.2">
      <c r="D741" s="77"/>
    </row>
    <row r="742" spans="4:4" x14ac:dyDescent="0.2">
      <c r="D742" s="77"/>
    </row>
    <row r="743" spans="4:4" x14ac:dyDescent="0.2">
      <c r="D743" s="77"/>
    </row>
    <row r="744" spans="4:4" x14ac:dyDescent="0.2">
      <c r="D744" s="77"/>
    </row>
    <row r="745" spans="4:4" x14ac:dyDescent="0.2">
      <c r="D745" s="77"/>
    </row>
    <row r="746" spans="4:4" x14ac:dyDescent="0.2">
      <c r="D746" s="77"/>
    </row>
    <row r="747" spans="4:4" x14ac:dyDescent="0.2">
      <c r="D747" s="77"/>
    </row>
    <row r="748" spans="4:4" x14ac:dyDescent="0.2">
      <c r="D748" s="77"/>
    </row>
    <row r="749" spans="4:4" x14ac:dyDescent="0.2">
      <c r="D749" s="77"/>
    </row>
    <row r="750" spans="4:4" x14ac:dyDescent="0.2">
      <c r="D750" s="77"/>
    </row>
    <row r="751" spans="4:4" x14ac:dyDescent="0.2">
      <c r="D751" s="77"/>
    </row>
    <row r="752" spans="4:4" x14ac:dyDescent="0.2">
      <c r="D752" s="77"/>
    </row>
    <row r="753" spans="4:4" x14ac:dyDescent="0.2">
      <c r="D753" s="77"/>
    </row>
    <row r="754" spans="4:4" x14ac:dyDescent="0.2">
      <c r="D754" s="77"/>
    </row>
    <row r="755" spans="4:4" x14ac:dyDescent="0.2">
      <c r="D755" s="77"/>
    </row>
    <row r="756" spans="4:4" x14ac:dyDescent="0.2">
      <c r="D756" s="77"/>
    </row>
    <row r="757" spans="4:4" x14ac:dyDescent="0.2">
      <c r="D757" s="77"/>
    </row>
    <row r="758" spans="4:4" x14ac:dyDescent="0.2">
      <c r="D758" s="77"/>
    </row>
    <row r="759" spans="4:4" x14ac:dyDescent="0.2">
      <c r="D759" s="77"/>
    </row>
    <row r="760" spans="4:4" x14ac:dyDescent="0.2">
      <c r="D760" s="77"/>
    </row>
    <row r="761" spans="4:4" x14ac:dyDescent="0.2">
      <c r="D761" s="77"/>
    </row>
    <row r="762" spans="4:4" x14ac:dyDescent="0.2">
      <c r="D762" s="77"/>
    </row>
    <row r="763" spans="4:4" x14ac:dyDescent="0.2">
      <c r="D763" s="77"/>
    </row>
    <row r="764" spans="4:4" x14ac:dyDescent="0.2">
      <c r="D764" s="77"/>
    </row>
    <row r="765" spans="4:4" x14ac:dyDescent="0.2">
      <c r="D765" s="77"/>
    </row>
    <row r="766" spans="4:4" x14ac:dyDescent="0.2">
      <c r="D766" s="77"/>
    </row>
    <row r="767" spans="4:4" x14ac:dyDescent="0.2">
      <c r="D767" s="77"/>
    </row>
    <row r="768" spans="4:4" x14ac:dyDescent="0.2">
      <c r="D768" s="77"/>
    </row>
    <row r="769" spans="4:4" x14ac:dyDescent="0.2">
      <c r="D769" s="77"/>
    </row>
    <row r="770" spans="4:4" x14ac:dyDescent="0.2">
      <c r="D770" s="77"/>
    </row>
    <row r="771" spans="4:4" x14ac:dyDescent="0.2">
      <c r="D771" s="77"/>
    </row>
    <row r="772" spans="4:4" x14ac:dyDescent="0.2">
      <c r="D772" s="77"/>
    </row>
    <row r="773" spans="4:4" x14ac:dyDescent="0.2">
      <c r="D773" s="77"/>
    </row>
    <row r="774" spans="4:4" x14ac:dyDescent="0.2">
      <c r="D774" s="77"/>
    </row>
    <row r="775" spans="4:4" x14ac:dyDescent="0.2">
      <c r="D775" s="77"/>
    </row>
    <row r="776" spans="4:4" x14ac:dyDescent="0.2">
      <c r="D776" s="77"/>
    </row>
    <row r="777" spans="4:4" x14ac:dyDescent="0.2">
      <c r="D777" s="77"/>
    </row>
    <row r="778" spans="4:4" x14ac:dyDescent="0.2">
      <c r="D778" s="77"/>
    </row>
    <row r="779" spans="4:4" x14ac:dyDescent="0.2">
      <c r="D779" s="77"/>
    </row>
    <row r="780" spans="4:4" x14ac:dyDescent="0.2">
      <c r="D780" s="77"/>
    </row>
    <row r="781" spans="4:4" x14ac:dyDescent="0.2">
      <c r="D781" s="77"/>
    </row>
    <row r="782" spans="4:4" x14ac:dyDescent="0.2">
      <c r="D782" s="77"/>
    </row>
    <row r="783" spans="4:4" x14ac:dyDescent="0.2">
      <c r="D783" s="77"/>
    </row>
    <row r="784" spans="4:4" x14ac:dyDescent="0.2">
      <c r="D784" s="77"/>
    </row>
    <row r="785" spans="4:4" x14ac:dyDescent="0.2">
      <c r="D785" s="77"/>
    </row>
    <row r="786" spans="4:4" x14ac:dyDescent="0.2">
      <c r="D786" s="77"/>
    </row>
    <row r="787" spans="4:4" x14ac:dyDescent="0.2">
      <c r="D787" s="77"/>
    </row>
    <row r="788" spans="4:4" x14ac:dyDescent="0.2">
      <c r="D788" s="77"/>
    </row>
    <row r="789" spans="4:4" x14ac:dyDescent="0.2">
      <c r="D789" s="77"/>
    </row>
    <row r="790" spans="4:4" x14ac:dyDescent="0.2">
      <c r="D790" s="77"/>
    </row>
    <row r="791" spans="4:4" x14ac:dyDescent="0.2">
      <c r="D791" s="77"/>
    </row>
    <row r="792" spans="4:4" x14ac:dyDescent="0.2">
      <c r="D792" s="77"/>
    </row>
    <row r="793" spans="4:4" x14ac:dyDescent="0.2">
      <c r="D793" s="77"/>
    </row>
    <row r="794" spans="4:4" x14ac:dyDescent="0.2">
      <c r="D794" s="77"/>
    </row>
    <row r="795" spans="4:4" x14ac:dyDescent="0.2">
      <c r="D795" s="77"/>
    </row>
    <row r="796" spans="4:4" x14ac:dyDescent="0.2">
      <c r="D796" s="77"/>
    </row>
    <row r="797" spans="4:4" x14ac:dyDescent="0.2">
      <c r="D797" s="77"/>
    </row>
    <row r="798" spans="4:4" x14ac:dyDescent="0.2">
      <c r="D798" s="77"/>
    </row>
    <row r="799" spans="4:4" x14ac:dyDescent="0.2">
      <c r="D799" s="77"/>
    </row>
    <row r="800" spans="4:4" x14ac:dyDescent="0.2">
      <c r="D800" s="77"/>
    </row>
    <row r="801" spans="4:4" x14ac:dyDescent="0.2">
      <c r="D801" s="77"/>
    </row>
    <row r="802" spans="4:4" x14ac:dyDescent="0.2">
      <c r="D802" s="77"/>
    </row>
    <row r="803" spans="4:4" x14ac:dyDescent="0.2">
      <c r="D803" s="77"/>
    </row>
    <row r="804" spans="4:4" x14ac:dyDescent="0.2">
      <c r="D804" s="77"/>
    </row>
    <row r="805" spans="4:4" x14ac:dyDescent="0.2">
      <c r="D805" s="77"/>
    </row>
    <row r="806" spans="4:4" x14ac:dyDescent="0.2">
      <c r="D806" s="77"/>
    </row>
    <row r="807" spans="4:4" x14ac:dyDescent="0.2">
      <c r="D807" s="77"/>
    </row>
    <row r="808" spans="4:4" x14ac:dyDescent="0.2">
      <c r="D808" s="77"/>
    </row>
    <row r="809" spans="4:4" x14ac:dyDescent="0.2">
      <c r="D809" s="77"/>
    </row>
    <row r="810" spans="4:4" x14ac:dyDescent="0.2">
      <c r="D810" s="77"/>
    </row>
    <row r="811" spans="4:4" x14ac:dyDescent="0.2">
      <c r="D811" s="77"/>
    </row>
    <row r="812" spans="4:4" x14ac:dyDescent="0.2">
      <c r="D812" s="77"/>
    </row>
    <row r="813" spans="4:4" x14ac:dyDescent="0.2">
      <c r="D813" s="77"/>
    </row>
    <row r="814" spans="4:4" x14ac:dyDescent="0.2">
      <c r="D814" s="77"/>
    </row>
    <row r="815" spans="4:4" x14ac:dyDescent="0.2">
      <c r="D815" s="77"/>
    </row>
    <row r="816" spans="4:4" x14ac:dyDescent="0.2">
      <c r="D816" s="77"/>
    </row>
    <row r="817" spans="4:4" x14ac:dyDescent="0.2">
      <c r="D817" s="77"/>
    </row>
    <row r="818" spans="4:4" x14ac:dyDescent="0.2">
      <c r="D818" s="77"/>
    </row>
    <row r="819" spans="4:4" x14ac:dyDescent="0.2">
      <c r="D819" s="77"/>
    </row>
    <row r="820" spans="4:4" x14ac:dyDescent="0.2">
      <c r="D820" s="77"/>
    </row>
    <row r="821" spans="4:4" x14ac:dyDescent="0.2">
      <c r="D821" s="77"/>
    </row>
    <row r="822" spans="4:4" x14ac:dyDescent="0.2">
      <c r="D822" s="77"/>
    </row>
    <row r="823" spans="4:4" x14ac:dyDescent="0.2">
      <c r="D823" s="77"/>
    </row>
    <row r="824" spans="4:4" x14ac:dyDescent="0.2">
      <c r="D824" s="77"/>
    </row>
    <row r="825" spans="4:4" x14ac:dyDescent="0.2">
      <c r="D825" s="77"/>
    </row>
    <row r="826" spans="4:4" x14ac:dyDescent="0.2">
      <c r="D826" s="77"/>
    </row>
    <row r="827" spans="4:4" x14ac:dyDescent="0.2">
      <c r="D827" s="77"/>
    </row>
    <row r="828" spans="4:4" x14ac:dyDescent="0.2">
      <c r="D828" s="77"/>
    </row>
    <row r="829" spans="4:4" x14ac:dyDescent="0.2">
      <c r="D829" s="77"/>
    </row>
    <row r="830" spans="4:4" x14ac:dyDescent="0.2">
      <c r="D830" s="77"/>
    </row>
    <row r="831" spans="4:4" x14ac:dyDescent="0.2">
      <c r="D831" s="77"/>
    </row>
    <row r="832" spans="4:4" x14ac:dyDescent="0.2">
      <c r="D832" s="77"/>
    </row>
    <row r="833" spans="4:4" x14ac:dyDescent="0.2">
      <c r="D833" s="77"/>
    </row>
    <row r="834" spans="4:4" x14ac:dyDescent="0.2">
      <c r="D834" s="77"/>
    </row>
    <row r="835" spans="4:4" x14ac:dyDescent="0.2">
      <c r="D835" s="77"/>
    </row>
    <row r="836" spans="4:4" x14ac:dyDescent="0.2">
      <c r="D836" s="77"/>
    </row>
    <row r="837" spans="4:4" x14ac:dyDescent="0.2">
      <c r="D837" s="77"/>
    </row>
    <row r="838" spans="4:4" x14ac:dyDescent="0.2">
      <c r="D838" s="77"/>
    </row>
    <row r="839" spans="4:4" x14ac:dyDescent="0.2">
      <c r="D839" s="77"/>
    </row>
    <row r="840" spans="4:4" x14ac:dyDescent="0.2">
      <c r="D840" s="77"/>
    </row>
    <row r="841" spans="4:4" x14ac:dyDescent="0.2">
      <c r="D841" s="77"/>
    </row>
    <row r="842" spans="4:4" x14ac:dyDescent="0.2">
      <c r="D842" s="77"/>
    </row>
  </sheetData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00"/>
  <sheetViews>
    <sheetView workbookViewId="0">
      <selection activeCell="C29" sqref="C29"/>
    </sheetView>
  </sheetViews>
  <sheetFormatPr defaultRowHeight="12.75" x14ac:dyDescent="0.2"/>
  <cols>
    <col min="1" max="1" width="8.140625" style="5" bestFit="1" customWidth="1"/>
    <col min="2" max="2" width="10.140625" bestFit="1" customWidth="1"/>
    <col min="3" max="3" width="5.85546875" bestFit="1" customWidth="1"/>
    <col min="4" max="4" width="5.140625" customWidth="1"/>
    <col min="5" max="5" width="36" bestFit="1" customWidth="1"/>
  </cols>
  <sheetData>
    <row r="1" spans="1:5" ht="15" x14ac:dyDescent="0.2">
      <c r="A1" s="5" t="s">
        <v>243</v>
      </c>
      <c r="B1" s="172" t="s">
        <v>241</v>
      </c>
      <c r="C1" s="171" t="s">
        <v>242</v>
      </c>
      <c r="E1" s="136" t="s">
        <v>169</v>
      </c>
    </row>
    <row r="2" spans="1:5" ht="15" x14ac:dyDescent="0.2">
      <c r="A2" s="70" t="str">
        <f>IF(B2="","",YEAR(B2)&amp;"/"&amp;MONTH(B2))</f>
        <v>2018/1</v>
      </c>
      <c r="B2" s="170">
        <v>41639</v>
      </c>
      <c r="C2" s="96">
        <v>2.7</v>
      </c>
    </row>
    <row r="3" spans="1:5" ht="15" x14ac:dyDescent="0.2">
      <c r="A3" s="70" t="str">
        <f t="shared" ref="A3:A66" si="0">IF(B3="","",YEAR(B3)&amp;"/"&amp;MONTH(B3))</f>
        <v>2018/2</v>
      </c>
      <c r="B3" s="170">
        <v>41670</v>
      </c>
      <c r="C3" s="96">
        <v>2.74</v>
      </c>
    </row>
    <row r="4" spans="1:5" ht="15" x14ac:dyDescent="0.2">
      <c r="A4" s="70" t="str">
        <f t="shared" si="0"/>
        <v>2018/3</v>
      </c>
      <c r="B4" s="170">
        <v>41698</v>
      </c>
      <c r="C4" s="96">
        <v>2.71</v>
      </c>
    </row>
    <row r="5" spans="1:5" ht="15" x14ac:dyDescent="0.2">
      <c r="A5" s="70" t="str">
        <f t="shared" si="0"/>
        <v>2018/4</v>
      </c>
      <c r="B5" s="170">
        <v>41729</v>
      </c>
      <c r="C5" s="96">
        <v>2.62</v>
      </c>
    </row>
    <row r="6" spans="1:5" ht="15" x14ac:dyDescent="0.2">
      <c r="A6" s="70" t="str">
        <f t="shared" ref="A6" si="1">IF(B6="","",YEAR(B6)&amp;"/"&amp;MONTH(B6))</f>
        <v>2018/5</v>
      </c>
      <c r="B6" s="170">
        <v>41759</v>
      </c>
      <c r="C6" s="96">
        <v>2.5499999999999998</v>
      </c>
    </row>
    <row r="7" spans="1:5" ht="15" x14ac:dyDescent="0.2">
      <c r="A7" s="70" t="str">
        <f t="shared" ref="A7" si="2">IF(B7="","",YEAR(B7)&amp;"/"&amp;MONTH(B7))</f>
        <v>2018/6</v>
      </c>
      <c r="B7" s="170">
        <v>41790</v>
      </c>
      <c r="C7" s="96">
        <v>2.58</v>
      </c>
    </row>
    <row r="8" spans="1:5" x14ac:dyDescent="0.2">
      <c r="A8" s="70" t="str">
        <f t="shared" si="0"/>
        <v>2018/7</v>
      </c>
      <c r="B8" s="77">
        <v>41820</v>
      </c>
      <c r="C8" s="96">
        <v>2.78</v>
      </c>
    </row>
    <row r="9" spans="1:5" x14ac:dyDescent="0.2">
      <c r="A9" s="70" t="str">
        <f t="shared" ref="A9" si="3">IF(B9="","",YEAR(B9)&amp;"/"&amp;MONTH(B9))</f>
        <v>2018/8</v>
      </c>
      <c r="B9" s="77">
        <v>41851</v>
      </c>
      <c r="C9" s="96">
        <v>3</v>
      </c>
    </row>
    <row r="10" spans="1:5" x14ac:dyDescent="0.2">
      <c r="A10" s="70" t="str">
        <f t="shared" ref="A10" si="4">IF(B10="","",YEAR(B10)&amp;"/"&amp;MONTH(B10))</f>
        <v>2018/9</v>
      </c>
      <c r="B10" s="77">
        <v>41882</v>
      </c>
      <c r="C10" s="96">
        <v>3.13</v>
      </c>
    </row>
    <row r="11" spans="1:5" x14ac:dyDescent="0.2">
      <c r="A11" s="70" t="str">
        <f t="shared" ref="A11" si="5">IF(B11="","",YEAR(B11)&amp;"/"&amp;MONTH(B11))</f>
        <v>2018/10</v>
      </c>
      <c r="B11" s="77">
        <v>41912</v>
      </c>
      <c r="C11" s="96">
        <v>3.17</v>
      </c>
    </row>
    <row r="12" spans="1:5" x14ac:dyDescent="0.2">
      <c r="A12" s="70" t="str">
        <f t="shared" ref="A12" si="6">IF(B12="","",YEAR(B12)&amp;"/"&amp;MONTH(B12))</f>
        <v>2018/11</v>
      </c>
      <c r="B12" s="77">
        <v>41943</v>
      </c>
      <c r="C12" s="96">
        <v>3.1</v>
      </c>
    </row>
    <row r="13" spans="1:5" x14ac:dyDescent="0.2">
      <c r="A13" s="70" t="str">
        <f t="shared" ref="A13" si="7">IF(B13="","",YEAR(B13)&amp;"/"&amp;MONTH(B13))</f>
        <v>2018/12</v>
      </c>
      <c r="B13" s="77">
        <v>41973</v>
      </c>
      <c r="C13" s="96">
        <v>2.98</v>
      </c>
    </row>
    <row r="14" spans="1:5" x14ac:dyDescent="0.2">
      <c r="A14" s="70" t="str">
        <f t="shared" ref="A14" si="8">IF(B14="","",YEAR(B14)&amp;"/"&amp;MONTH(B14))</f>
        <v>2019/1</v>
      </c>
      <c r="B14" s="77">
        <v>42004</v>
      </c>
      <c r="C14" s="96">
        <v>3.19</v>
      </c>
    </row>
    <row r="15" spans="1:5" x14ac:dyDescent="0.2">
      <c r="A15" s="70" t="str">
        <f t="shared" ref="A15" si="9">IF(B15="","",YEAR(B15)&amp;"/"&amp;MONTH(B15))</f>
        <v>2019/2</v>
      </c>
      <c r="B15" s="77">
        <v>42035</v>
      </c>
      <c r="C15" s="96">
        <v>2.98</v>
      </c>
    </row>
    <row r="16" spans="1:5" x14ac:dyDescent="0.2">
      <c r="A16" s="70" t="str">
        <f t="shared" si="0"/>
        <v>2019/3</v>
      </c>
      <c r="B16" s="77">
        <v>42063</v>
      </c>
      <c r="C16" s="96">
        <v>2.84</v>
      </c>
    </row>
    <row r="17" spans="1:3" x14ac:dyDescent="0.2">
      <c r="A17" s="70" t="str">
        <f t="shared" ref="A17" si="10">IF(B17="","",YEAR(B17)&amp;"/"&amp;MONTH(B17))</f>
        <v>2019/4</v>
      </c>
      <c r="B17" s="77">
        <v>42094</v>
      </c>
      <c r="C17" s="96">
        <v>2.7</v>
      </c>
    </row>
    <row r="18" spans="1:3" x14ac:dyDescent="0.2">
      <c r="A18" s="70" t="str">
        <f t="shared" si="0"/>
        <v>2019/5</v>
      </c>
      <c r="B18" s="77">
        <v>42124</v>
      </c>
      <c r="C18" s="96">
        <v>2.67</v>
      </c>
    </row>
    <row r="19" spans="1:3" x14ac:dyDescent="0.2">
      <c r="A19" s="70" t="str">
        <f t="shared" ref="A19" si="11">IF(B19="","",YEAR(B19)&amp;"/"&amp;MONTH(B19))</f>
        <v>2019/6</v>
      </c>
      <c r="B19" s="77">
        <v>42155</v>
      </c>
      <c r="C19" s="96">
        <v>2.64</v>
      </c>
    </row>
    <row r="20" spans="1:3" x14ac:dyDescent="0.2">
      <c r="A20" s="70" t="str">
        <f t="shared" ref="A20" si="12">IF(B20="","",YEAR(B20)&amp;"/"&amp;MONTH(B20))</f>
        <v>2019/7</v>
      </c>
      <c r="B20" s="77">
        <v>42185</v>
      </c>
      <c r="C20" s="96">
        <v>2.5299999999999998</v>
      </c>
    </row>
    <row r="21" spans="1:3" x14ac:dyDescent="0.2">
      <c r="A21" s="70" t="str">
        <f t="shared" ref="A21" si="13">IF(B21="","",YEAR(B21)&amp;"/"&amp;MONTH(B21))</f>
        <v>2019/8</v>
      </c>
      <c r="B21" s="77">
        <v>42216</v>
      </c>
      <c r="C21" s="96">
        <v>2.25</v>
      </c>
    </row>
    <row r="22" spans="1:3" x14ac:dyDescent="0.2">
      <c r="A22" s="70" t="str">
        <f t="shared" ref="A22" si="14">IF(B22="","",YEAR(B22)&amp;"/"&amp;MONTH(B22))</f>
        <v>2019/9</v>
      </c>
      <c r="B22" s="77">
        <v>42247</v>
      </c>
      <c r="C22" s="96">
        <v>2.0299999999999998</v>
      </c>
    </row>
    <row r="23" spans="1:3" x14ac:dyDescent="0.2">
      <c r="A23" s="70" t="str">
        <f t="shared" ref="A23" si="15">IF(B23="","",YEAR(B23)&amp;"/"&amp;MONTH(B23))</f>
        <v>2019/10</v>
      </c>
      <c r="B23" s="77">
        <v>42277</v>
      </c>
      <c r="C23" s="96">
        <v>1.91</v>
      </c>
    </row>
    <row r="24" spans="1:3" x14ac:dyDescent="0.2">
      <c r="A24" s="70" t="str">
        <f t="shared" ref="A24" si="16">IF(B24="","",YEAR(B24)&amp;"/"&amp;MONTH(B24))</f>
        <v>2019/11</v>
      </c>
      <c r="B24" s="77">
        <v>42308</v>
      </c>
      <c r="C24" s="96">
        <v>1.8</v>
      </c>
    </row>
    <row r="25" spans="1:3" x14ac:dyDescent="0.2">
      <c r="A25" s="70" t="str">
        <f t="shared" ref="A25" si="17">IF(B25="","",YEAR(B25)&amp;"/"&amp;MONTH(B25))</f>
        <v>2019/12</v>
      </c>
      <c r="B25" s="77">
        <v>42338</v>
      </c>
      <c r="C25" s="96">
        <v>1.68</v>
      </c>
    </row>
    <row r="26" spans="1:3" x14ac:dyDescent="0.2">
      <c r="A26" s="70" t="str">
        <f t="shared" ref="A26:A27" si="18">IF(B26="","",YEAR(B26)&amp;"/"&amp;MONTH(B26))</f>
        <v>2020/1</v>
      </c>
      <c r="B26" s="77">
        <v>42369</v>
      </c>
      <c r="C26" s="96">
        <v>1.78</v>
      </c>
    </row>
    <row r="27" spans="1:3" x14ac:dyDescent="0.2">
      <c r="A27" s="70" t="str">
        <f t="shared" si="18"/>
        <v>2020/2</v>
      </c>
      <c r="B27" s="77">
        <v>42400</v>
      </c>
      <c r="C27" s="96">
        <v>1.79</v>
      </c>
    </row>
    <row r="28" spans="1:3" x14ac:dyDescent="0.2">
      <c r="A28" s="70" t="str">
        <f t="shared" ref="A28" si="19">IF(B28="","",YEAR(B28)&amp;"/"&amp;MONTH(B28))</f>
        <v>2020/3</v>
      </c>
      <c r="B28" s="77">
        <v>42429</v>
      </c>
      <c r="C28" s="96">
        <v>1.83</v>
      </c>
    </row>
    <row r="29" spans="1:3" x14ac:dyDescent="0.2">
      <c r="A29" s="70" t="str">
        <f t="shared" si="0"/>
        <v/>
      </c>
    </row>
    <row r="30" spans="1:3" x14ac:dyDescent="0.2">
      <c r="A30" s="70" t="str">
        <f t="shared" si="0"/>
        <v/>
      </c>
    </row>
    <row r="31" spans="1:3" x14ac:dyDescent="0.2">
      <c r="A31" s="70" t="str">
        <f t="shared" si="0"/>
        <v/>
      </c>
    </row>
    <row r="32" spans="1:3" x14ac:dyDescent="0.2">
      <c r="A32" s="70" t="str">
        <f t="shared" si="0"/>
        <v/>
      </c>
    </row>
    <row r="33" spans="1:1" x14ac:dyDescent="0.2">
      <c r="A33" s="70" t="str">
        <f t="shared" si="0"/>
        <v/>
      </c>
    </row>
    <row r="34" spans="1:1" x14ac:dyDescent="0.2">
      <c r="A34" s="70" t="str">
        <f t="shared" si="0"/>
        <v/>
      </c>
    </row>
    <row r="35" spans="1:1" x14ac:dyDescent="0.2">
      <c r="A35" s="70" t="str">
        <f t="shared" si="0"/>
        <v/>
      </c>
    </row>
    <row r="36" spans="1:1" x14ac:dyDescent="0.2">
      <c r="A36" s="70" t="str">
        <f t="shared" si="0"/>
        <v/>
      </c>
    </row>
    <row r="37" spans="1:1" x14ac:dyDescent="0.2">
      <c r="A37" s="70" t="str">
        <f t="shared" si="0"/>
        <v/>
      </c>
    </row>
    <row r="38" spans="1:1" x14ac:dyDescent="0.2">
      <c r="A38" s="70" t="str">
        <f t="shared" si="0"/>
        <v/>
      </c>
    </row>
    <row r="39" spans="1:1" x14ac:dyDescent="0.2">
      <c r="A39" s="70" t="str">
        <f t="shared" si="0"/>
        <v/>
      </c>
    </row>
    <row r="40" spans="1:1" x14ac:dyDescent="0.2">
      <c r="A40" s="70" t="str">
        <f t="shared" si="0"/>
        <v/>
      </c>
    </row>
    <row r="41" spans="1:1" x14ac:dyDescent="0.2">
      <c r="A41" s="70" t="str">
        <f t="shared" si="0"/>
        <v/>
      </c>
    </row>
    <row r="42" spans="1:1" x14ac:dyDescent="0.2">
      <c r="A42" s="70" t="str">
        <f t="shared" si="0"/>
        <v/>
      </c>
    </row>
    <row r="43" spans="1:1" x14ac:dyDescent="0.2">
      <c r="A43" s="70" t="str">
        <f t="shared" si="0"/>
        <v/>
      </c>
    </row>
    <row r="44" spans="1:1" x14ac:dyDescent="0.2">
      <c r="A44" s="70" t="str">
        <f t="shared" si="0"/>
        <v/>
      </c>
    </row>
    <row r="45" spans="1:1" x14ac:dyDescent="0.2">
      <c r="A45" s="70" t="str">
        <f t="shared" si="0"/>
        <v/>
      </c>
    </row>
    <row r="46" spans="1:1" x14ac:dyDescent="0.2">
      <c r="A46" s="70" t="str">
        <f t="shared" si="0"/>
        <v/>
      </c>
    </row>
    <row r="47" spans="1:1" x14ac:dyDescent="0.2">
      <c r="A47" s="70" t="str">
        <f t="shared" si="0"/>
        <v/>
      </c>
    </row>
    <row r="48" spans="1:1" x14ac:dyDescent="0.2">
      <c r="A48" s="70" t="str">
        <f t="shared" si="0"/>
        <v/>
      </c>
    </row>
    <row r="49" spans="1:1" x14ac:dyDescent="0.2">
      <c r="A49" s="70" t="str">
        <f t="shared" si="0"/>
        <v/>
      </c>
    </row>
    <row r="50" spans="1:1" x14ac:dyDescent="0.2">
      <c r="A50" s="70" t="str">
        <f t="shared" si="0"/>
        <v/>
      </c>
    </row>
    <row r="51" spans="1:1" x14ac:dyDescent="0.2">
      <c r="A51" s="70" t="str">
        <f t="shared" si="0"/>
        <v/>
      </c>
    </row>
    <row r="52" spans="1:1" x14ac:dyDescent="0.2">
      <c r="A52" s="70" t="str">
        <f t="shared" si="0"/>
        <v/>
      </c>
    </row>
    <row r="53" spans="1:1" x14ac:dyDescent="0.2">
      <c r="A53" s="70" t="str">
        <f t="shared" si="0"/>
        <v/>
      </c>
    </row>
    <row r="54" spans="1:1" x14ac:dyDescent="0.2">
      <c r="A54" s="70" t="str">
        <f t="shared" si="0"/>
        <v/>
      </c>
    </row>
    <row r="55" spans="1:1" x14ac:dyDescent="0.2">
      <c r="A55" s="70" t="str">
        <f t="shared" si="0"/>
        <v/>
      </c>
    </row>
    <row r="56" spans="1:1" x14ac:dyDescent="0.2">
      <c r="A56" s="70" t="str">
        <f t="shared" si="0"/>
        <v/>
      </c>
    </row>
    <row r="57" spans="1:1" x14ac:dyDescent="0.2">
      <c r="A57" s="70" t="str">
        <f t="shared" si="0"/>
        <v/>
      </c>
    </row>
    <row r="58" spans="1:1" x14ac:dyDescent="0.2">
      <c r="A58" s="70" t="str">
        <f t="shared" si="0"/>
        <v/>
      </c>
    </row>
    <row r="59" spans="1:1" x14ac:dyDescent="0.2">
      <c r="A59" s="70" t="str">
        <f t="shared" si="0"/>
        <v/>
      </c>
    </row>
    <row r="60" spans="1:1" x14ac:dyDescent="0.2">
      <c r="A60" s="70" t="str">
        <f t="shared" si="0"/>
        <v/>
      </c>
    </row>
    <row r="61" spans="1:1" x14ac:dyDescent="0.2">
      <c r="A61" s="70" t="str">
        <f t="shared" si="0"/>
        <v/>
      </c>
    </row>
    <row r="62" spans="1:1" x14ac:dyDescent="0.2">
      <c r="A62" s="70" t="str">
        <f t="shared" si="0"/>
        <v/>
      </c>
    </row>
    <row r="63" spans="1:1" x14ac:dyDescent="0.2">
      <c r="A63" s="70" t="str">
        <f t="shared" si="0"/>
        <v/>
      </c>
    </row>
    <row r="64" spans="1:1" x14ac:dyDescent="0.2">
      <c r="A64" s="70" t="str">
        <f t="shared" si="0"/>
        <v/>
      </c>
    </row>
    <row r="65" spans="1:1" x14ac:dyDescent="0.2">
      <c r="A65" s="70" t="str">
        <f t="shared" si="0"/>
        <v/>
      </c>
    </row>
    <row r="66" spans="1:1" x14ac:dyDescent="0.2">
      <c r="A66" s="70" t="str">
        <f t="shared" si="0"/>
        <v/>
      </c>
    </row>
    <row r="67" spans="1:1" x14ac:dyDescent="0.2">
      <c r="A67" s="70" t="str">
        <f t="shared" ref="A67:A100" si="20">IF(B67="","",YEAR(B67)&amp;"/"&amp;MONTH(B67))</f>
        <v/>
      </c>
    </row>
    <row r="68" spans="1:1" x14ac:dyDescent="0.2">
      <c r="A68" s="70" t="str">
        <f t="shared" si="20"/>
        <v/>
      </c>
    </row>
    <row r="69" spans="1:1" x14ac:dyDescent="0.2">
      <c r="A69" s="70" t="str">
        <f t="shared" si="20"/>
        <v/>
      </c>
    </row>
    <row r="70" spans="1:1" x14ac:dyDescent="0.2">
      <c r="A70" s="70" t="str">
        <f t="shared" si="20"/>
        <v/>
      </c>
    </row>
    <row r="71" spans="1:1" x14ac:dyDescent="0.2">
      <c r="A71" s="70" t="str">
        <f t="shared" si="20"/>
        <v/>
      </c>
    </row>
    <row r="72" spans="1:1" x14ac:dyDescent="0.2">
      <c r="A72" s="70" t="str">
        <f t="shared" si="20"/>
        <v/>
      </c>
    </row>
    <row r="73" spans="1:1" x14ac:dyDescent="0.2">
      <c r="A73" s="70" t="str">
        <f t="shared" si="20"/>
        <v/>
      </c>
    </row>
    <row r="74" spans="1:1" x14ac:dyDescent="0.2">
      <c r="A74" s="70" t="str">
        <f t="shared" si="20"/>
        <v/>
      </c>
    </row>
    <row r="75" spans="1:1" x14ac:dyDescent="0.2">
      <c r="A75" s="70" t="str">
        <f t="shared" si="20"/>
        <v/>
      </c>
    </row>
    <row r="76" spans="1:1" x14ac:dyDescent="0.2">
      <c r="A76" s="70" t="str">
        <f t="shared" si="20"/>
        <v/>
      </c>
    </row>
    <row r="77" spans="1:1" x14ac:dyDescent="0.2">
      <c r="A77" s="70" t="str">
        <f t="shared" si="20"/>
        <v/>
      </c>
    </row>
    <row r="78" spans="1:1" x14ac:dyDescent="0.2">
      <c r="A78" s="70" t="str">
        <f t="shared" si="20"/>
        <v/>
      </c>
    </row>
    <row r="79" spans="1:1" x14ac:dyDescent="0.2">
      <c r="A79" s="70" t="str">
        <f t="shared" si="20"/>
        <v/>
      </c>
    </row>
    <row r="80" spans="1:1" x14ac:dyDescent="0.2">
      <c r="A80" s="70" t="str">
        <f t="shared" si="20"/>
        <v/>
      </c>
    </row>
    <row r="81" spans="1:1" x14ac:dyDescent="0.2">
      <c r="A81" s="70" t="str">
        <f t="shared" si="20"/>
        <v/>
      </c>
    </row>
    <row r="82" spans="1:1" x14ac:dyDescent="0.2">
      <c r="A82" s="70" t="str">
        <f t="shared" si="20"/>
        <v/>
      </c>
    </row>
    <row r="83" spans="1:1" x14ac:dyDescent="0.2">
      <c r="A83" s="70" t="str">
        <f t="shared" si="20"/>
        <v/>
      </c>
    </row>
    <row r="84" spans="1:1" x14ac:dyDescent="0.2">
      <c r="A84" s="70" t="str">
        <f t="shared" si="20"/>
        <v/>
      </c>
    </row>
    <row r="85" spans="1:1" x14ac:dyDescent="0.2">
      <c r="A85" s="70" t="str">
        <f t="shared" si="20"/>
        <v/>
      </c>
    </row>
    <row r="86" spans="1:1" x14ac:dyDescent="0.2">
      <c r="A86" s="70" t="str">
        <f t="shared" si="20"/>
        <v/>
      </c>
    </row>
    <row r="87" spans="1:1" x14ac:dyDescent="0.2">
      <c r="A87" s="70" t="str">
        <f t="shared" si="20"/>
        <v/>
      </c>
    </row>
    <row r="88" spans="1:1" x14ac:dyDescent="0.2">
      <c r="A88" s="70" t="str">
        <f t="shared" si="20"/>
        <v/>
      </c>
    </row>
    <row r="89" spans="1:1" x14ac:dyDescent="0.2">
      <c r="A89" s="70" t="str">
        <f t="shared" si="20"/>
        <v/>
      </c>
    </row>
    <row r="90" spans="1:1" x14ac:dyDescent="0.2">
      <c r="A90" s="70" t="str">
        <f t="shared" si="20"/>
        <v/>
      </c>
    </row>
    <row r="91" spans="1:1" x14ac:dyDescent="0.2">
      <c r="A91" s="70" t="str">
        <f t="shared" si="20"/>
        <v/>
      </c>
    </row>
    <row r="92" spans="1:1" x14ac:dyDescent="0.2">
      <c r="A92" s="70" t="str">
        <f t="shared" si="20"/>
        <v/>
      </c>
    </row>
    <row r="93" spans="1:1" x14ac:dyDescent="0.2">
      <c r="A93" s="70" t="str">
        <f t="shared" si="20"/>
        <v/>
      </c>
    </row>
    <row r="94" spans="1:1" x14ac:dyDescent="0.2">
      <c r="A94" s="70" t="str">
        <f t="shared" si="20"/>
        <v/>
      </c>
    </row>
    <row r="95" spans="1:1" x14ac:dyDescent="0.2">
      <c r="A95" s="70" t="str">
        <f t="shared" si="20"/>
        <v/>
      </c>
    </row>
    <row r="96" spans="1:1" x14ac:dyDescent="0.2">
      <c r="A96" s="70" t="str">
        <f t="shared" si="20"/>
        <v/>
      </c>
    </row>
    <row r="97" spans="1:1" x14ac:dyDescent="0.2">
      <c r="A97" s="70" t="str">
        <f t="shared" si="20"/>
        <v/>
      </c>
    </row>
    <row r="98" spans="1:1" x14ac:dyDescent="0.2">
      <c r="A98" s="70" t="str">
        <f t="shared" si="20"/>
        <v/>
      </c>
    </row>
    <row r="99" spans="1:1" x14ac:dyDescent="0.2">
      <c r="A99" s="70" t="str">
        <f t="shared" si="20"/>
        <v/>
      </c>
    </row>
    <row r="100" spans="1:1" x14ac:dyDescent="0.2">
      <c r="A100" s="70" t="str">
        <f t="shared" si="20"/>
        <v/>
      </c>
    </row>
  </sheetData>
  <sortState ref="B2:C5">
    <sortCondition ref="B2:B5"/>
    <sortCondition ref="C2:C5"/>
  </sortState>
  <hyperlinks>
    <hyperlink ref="E1" r:id="rId1" xr:uid="{00000000-0004-0000-0500-000000000000}"/>
  </hyperlinks>
  <pageMargins left="0.511811024" right="0.511811024" top="0.78740157499999996" bottom="0.78740157499999996" header="0.31496062000000002" footer="0.31496062000000002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4</vt:i4>
      </vt:variant>
    </vt:vector>
  </HeadingPairs>
  <TitlesOfParts>
    <vt:vector size="10" baseType="lpstr">
      <vt:lpstr>Simulador</vt:lpstr>
      <vt:lpstr>Resumo AnoMêsDia</vt:lpstr>
      <vt:lpstr>Resumo por Ano</vt:lpstr>
      <vt:lpstr>Série IPCA</vt:lpstr>
      <vt:lpstr>Feriados</vt:lpstr>
      <vt:lpstr>Taxa Pré</vt:lpstr>
      <vt:lpstr>'Resumo AnoMêsDia'!Area_de_impressao</vt:lpstr>
      <vt:lpstr>Simulador!Area_de_impressao</vt:lpstr>
      <vt:lpstr>'Resumo AnoMêsDia'!Titulos_de_impressao</vt:lpstr>
      <vt:lpstr>Simulador!Titulos_de_impressao</vt:lpstr>
    </vt:vector>
  </TitlesOfParts>
  <Company>BNDES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 Magnaguagno</dc:creator>
  <cp:lastModifiedBy>Ari Magnaguagno</cp:lastModifiedBy>
  <cp:lastPrinted>2019-09-06T19:16:59Z</cp:lastPrinted>
  <dcterms:created xsi:type="dcterms:W3CDTF">2005-02-18T15:10:11Z</dcterms:created>
  <dcterms:modified xsi:type="dcterms:W3CDTF">2020-03-12T15:04:01Z</dcterms:modified>
</cp:coreProperties>
</file>